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S101243\Desktop\"/>
    </mc:Choice>
  </mc:AlternateContent>
  <xr:revisionPtr revIDLastSave="0" documentId="13_ncr:1_{E33F1834-CF05-4DC2-AE09-CB792455AC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雇用保険基本手当日額等算出" sheetId="3" r:id="rId1"/>
    <sheet name="計算シート" sheetId="8" r:id="rId2"/>
  </sheets>
  <definedNames>
    <definedName name="_xlnm._FilterDatabase" localSheetId="0" hidden="1">雇用保険基本手当日額等算出!$D$6:$G$9</definedName>
  </definedNames>
  <calcPr calcId="181029"/>
</workbook>
</file>

<file path=xl/calcChain.xml><?xml version="1.0" encoding="utf-8"?>
<calcChain xmlns="http://schemas.openxmlformats.org/spreadsheetml/2006/main">
  <c r="D33" i="3" l="1"/>
  <c r="D121" i="8"/>
  <c r="D120" i="8"/>
  <c r="G21" i="8"/>
  <c r="J24" i="8"/>
  <c r="J23" i="8"/>
  <c r="J22" i="8"/>
  <c r="J21" i="8"/>
  <c r="H22" i="8"/>
  <c r="G24" i="8"/>
  <c r="G23" i="8"/>
  <c r="G22" i="8"/>
  <c r="E24" i="8"/>
  <c r="E23" i="8"/>
  <c r="E22" i="8"/>
  <c r="E21" i="8"/>
  <c r="D24" i="8"/>
  <c r="D23" i="8"/>
  <c r="D22" i="8"/>
  <c r="D21" i="8"/>
  <c r="I8" i="8"/>
  <c r="G128" i="8"/>
  <c r="G8" i="8"/>
  <c r="G129" i="8"/>
  <c r="G130" i="8" s="1"/>
  <c r="I9" i="8" l="1"/>
  <c r="C120" i="8" l="1"/>
  <c r="C121" i="8"/>
  <c r="C97" i="8" l="1"/>
  <c r="I20" i="8"/>
  <c r="H20" i="8"/>
  <c r="G20" i="8"/>
  <c r="E20" i="8"/>
  <c r="D20" i="8"/>
  <c r="J20" i="8"/>
  <c r="C11" i="8"/>
  <c r="C10" i="8"/>
  <c r="C9" i="8"/>
  <c r="C8" i="8"/>
  <c r="G52" i="8"/>
  <c r="G57" i="8" s="1"/>
  <c r="F52" i="8"/>
  <c r="F57" i="8" s="1"/>
  <c r="E52" i="8"/>
  <c r="E57" i="8" s="1"/>
  <c r="D52" i="8"/>
  <c r="F108" i="8" l="1"/>
  <c r="F104" i="8"/>
  <c r="E107" i="8"/>
  <c r="F107" i="8"/>
  <c r="E110" i="8"/>
  <c r="E106" i="8"/>
  <c r="F110" i="8"/>
  <c r="F106" i="8"/>
  <c r="E109" i="8"/>
  <c r="E105" i="8"/>
  <c r="F109" i="8"/>
  <c r="F105" i="8"/>
  <c r="E108" i="8"/>
  <c r="E104" i="8"/>
  <c r="E103" i="8"/>
  <c r="F102" i="8"/>
  <c r="F101" i="8"/>
  <c r="F103" i="8"/>
  <c r="E102" i="8"/>
  <c r="E101" i="8"/>
  <c r="D57" i="8"/>
  <c r="D53" i="8"/>
  <c r="D54" i="8"/>
  <c r="D55" i="8"/>
  <c r="D56" i="8"/>
  <c r="E53" i="8"/>
  <c r="E54" i="8"/>
  <c r="E55" i="8"/>
  <c r="E56" i="8"/>
  <c r="F53" i="8"/>
  <c r="F54" i="8"/>
  <c r="F55" i="8"/>
  <c r="F56" i="8"/>
  <c r="G53" i="8"/>
  <c r="G54" i="8"/>
  <c r="G55" i="8"/>
  <c r="G56" i="8"/>
  <c r="G58" i="8" l="1"/>
  <c r="F58" i="8"/>
  <c r="E58" i="8"/>
  <c r="D58" i="8"/>
  <c r="C52" i="8" l="1"/>
  <c r="C58" i="8" s="1"/>
  <c r="C60" i="8" s="1"/>
  <c r="G36" i="8"/>
  <c r="F36" i="8"/>
  <c r="E36" i="8"/>
  <c r="D36" i="8"/>
  <c r="C36" i="8"/>
  <c r="C38" i="8" l="1"/>
  <c r="D18" i="3" s="1"/>
  <c r="C101" i="8" s="1"/>
  <c r="H11" i="8"/>
  <c r="G11" i="8"/>
  <c r="H10" i="8"/>
  <c r="G10" i="8"/>
  <c r="H9" i="8"/>
  <c r="G9" i="8"/>
  <c r="I11" i="8"/>
  <c r="I10" i="8"/>
  <c r="H8" i="8"/>
  <c r="J9" i="8" l="1"/>
  <c r="J11" i="8"/>
  <c r="C109" i="8"/>
  <c r="D109" i="8" s="1"/>
  <c r="C105" i="8"/>
  <c r="D105" i="8" s="1"/>
  <c r="D101" i="8"/>
  <c r="C108" i="8"/>
  <c r="D108" i="8" s="1"/>
  <c r="C104" i="8"/>
  <c r="D104" i="8" s="1"/>
  <c r="C107" i="8"/>
  <c r="D107" i="8" s="1"/>
  <c r="C103" i="8"/>
  <c r="D103" i="8" s="1"/>
  <c r="C110" i="8"/>
  <c r="D110" i="8" s="1"/>
  <c r="C106" i="8"/>
  <c r="D106" i="8" s="1"/>
  <c r="C102" i="8"/>
  <c r="D102" i="8" s="1"/>
  <c r="J8" i="8"/>
  <c r="J10" i="8"/>
  <c r="C13" i="8" l="1"/>
  <c r="H106" i="8"/>
  <c r="G106" i="8"/>
  <c r="H104" i="8"/>
  <c r="G104" i="8"/>
  <c r="H110" i="8"/>
  <c r="G110" i="8"/>
  <c r="H108" i="8"/>
  <c r="G108" i="8"/>
  <c r="G103" i="8"/>
  <c r="H103" i="8"/>
  <c r="H101" i="8"/>
  <c r="G101" i="8"/>
  <c r="H102" i="8"/>
  <c r="G102" i="8"/>
  <c r="H107" i="8"/>
  <c r="G107" i="8"/>
  <c r="G105" i="8"/>
  <c r="H105" i="8"/>
  <c r="G109" i="8"/>
  <c r="H109" i="8"/>
  <c r="I21" i="8" l="1"/>
  <c r="I23" i="8"/>
  <c r="I24" i="8"/>
  <c r="D13" i="3"/>
  <c r="G131" i="8" s="1"/>
  <c r="I107" i="8"/>
  <c r="I101" i="8"/>
  <c r="I108" i="8"/>
  <c r="I104" i="8"/>
  <c r="I105" i="8"/>
  <c r="I103" i="8"/>
  <c r="I109" i="8"/>
  <c r="I102" i="8"/>
  <c r="I110" i="8"/>
  <c r="I106" i="8"/>
  <c r="G132" i="8" l="1"/>
  <c r="D32" i="3"/>
  <c r="I22" i="8"/>
  <c r="I112" i="8"/>
  <c r="E26" i="8"/>
  <c r="D26" i="8"/>
  <c r="I26" i="8"/>
  <c r="J26" i="8"/>
  <c r="D25" i="3" l="1"/>
  <c r="D14" i="3"/>
  <c r="E120" i="8" l="1"/>
  <c r="D19" i="3"/>
  <c r="E121" i="8"/>
  <c r="E123" i="8" l="1"/>
  <c r="D24" i="3" s="1"/>
  <c r="D26" i="3" l="1"/>
  <c r="D34" i="3"/>
</calcChain>
</file>

<file path=xl/sharedStrings.xml><?xml version="1.0" encoding="utf-8"?>
<sst xmlns="http://schemas.openxmlformats.org/spreadsheetml/2006/main" count="159" uniqueCount="117">
  <si>
    <t>１．条件</t>
    <rPh sb="2" eb="4">
      <t>ジョウケン</t>
    </rPh>
    <phoneticPr fontId="1"/>
  </si>
  <si>
    <t>円</t>
    <rPh sb="0" eb="1">
      <t>エン</t>
    </rPh>
    <phoneticPr fontId="1"/>
  </si>
  <si>
    <t>歳</t>
    <rPh sb="0" eb="1">
      <t>サイ</t>
    </rPh>
    <phoneticPr fontId="1"/>
  </si>
  <si>
    <t>離職前６ヶ月間の月額平均給与</t>
    <rPh sb="0" eb="2">
      <t>リショク</t>
    </rPh>
    <rPh sb="2" eb="3">
      <t>マエ</t>
    </rPh>
    <rPh sb="5" eb="6">
      <t>ゲツ</t>
    </rPh>
    <rPh sb="6" eb="7">
      <t>カン</t>
    </rPh>
    <rPh sb="8" eb="10">
      <t>ゲツガク</t>
    </rPh>
    <rPh sb="10" eb="12">
      <t>ヘイキン</t>
    </rPh>
    <rPh sb="12" eb="14">
      <t>キュウヨ</t>
    </rPh>
    <phoneticPr fontId="1"/>
  </si>
  <si>
    <t>円</t>
    <rPh sb="0" eb="1">
      <t>エン</t>
    </rPh>
    <phoneticPr fontId="1"/>
  </si>
  <si>
    <t>雇用保険に係る賃金日額等算出用計算シート</t>
    <rPh sb="0" eb="2">
      <t>コヨウ</t>
    </rPh>
    <rPh sb="2" eb="4">
      <t>ホケン</t>
    </rPh>
    <rPh sb="5" eb="6">
      <t>カカ</t>
    </rPh>
    <rPh sb="7" eb="9">
      <t>チンギン</t>
    </rPh>
    <rPh sb="9" eb="11">
      <t>ニチガク</t>
    </rPh>
    <rPh sb="11" eb="12">
      <t>トウ</t>
    </rPh>
    <rPh sb="12" eb="14">
      <t>サンシュツ</t>
    </rPh>
    <rPh sb="14" eb="15">
      <t>ヨウ</t>
    </rPh>
    <rPh sb="15" eb="17">
      <t>ケイサン</t>
    </rPh>
    <phoneticPr fontId="1"/>
  </si>
  <si>
    <t>１．賃金日額</t>
    <rPh sb="2" eb="4">
      <t>チンギン</t>
    </rPh>
    <rPh sb="4" eb="6">
      <t>ニチガク</t>
    </rPh>
    <phoneticPr fontId="1"/>
  </si>
  <si>
    <t>年齢別　賃金日額の上限額・下限額</t>
    <rPh sb="0" eb="2">
      <t>ネンレイ</t>
    </rPh>
    <rPh sb="2" eb="3">
      <t>ベツ</t>
    </rPh>
    <rPh sb="4" eb="6">
      <t>チンギン</t>
    </rPh>
    <rPh sb="6" eb="8">
      <t>ニチガク</t>
    </rPh>
    <rPh sb="9" eb="12">
      <t>ジョウゲンガク</t>
    </rPh>
    <rPh sb="13" eb="15">
      <t>カゲン</t>
    </rPh>
    <rPh sb="15" eb="16">
      <t>ガク</t>
    </rPh>
    <phoneticPr fontId="1"/>
  </si>
  <si>
    <t>29歳以下</t>
    <rPh sb="2" eb="5">
      <t>サイイカ</t>
    </rPh>
    <phoneticPr fontId="1"/>
  </si>
  <si>
    <t>30～44歳</t>
    <rPh sb="5" eb="6">
      <t>サイ</t>
    </rPh>
    <phoneticPr fontId="1"/>
  </si>
  <si>
    <t>45～59歳</t>
    <rPh sb="5" eb="6">
      <t>サイ</t>
    </rPh>
    <phoneticPr fontId="1"/>
  </si>
  <si>
    <t>60～64歳</t>
    <rPh sb="5" eb="6">
      <t>サイ</t>
    </rPh>
    <phoneticPr fontId="1"/>
  </si>
  <si>
    <t>上限額</t>
    <rPh sb="0" eb="3">
      <t>ジョウゲンガク</t>
    </rPh>
    <phoneticPr fontId="1"/>
  </si>
  <si>
    <t>下限額</t>
    <rPh sb="0" eb="2">
      <t>カゲン</t>
    </rPh>
    <rPh sb="2" eb="3">
      <t>ガク</t>
    </rPh>
    <phoneticPr fontId="1"/>
  </si>
  <si>
    <t>年齢該当</t>
    <rPh sb="0" eb="2">
      <t>ネンレイ</t>
    </rPh>
    <rPh sb="2" eb="4">
      <t>ガイトウ</t>
    </rPh>
    <phoneticPr fontId="1"/>
  </si>
  <si>
    <t>合計</t>
    <rPh sb="0" eb="2">
      <t>ゴウケイ</t>
    </rPh>
    <phoneticPr fontId="1"/>
  </si>
  <si>
    <t>賃金日額</t>
    <rPh sb="0" eb="2">
      <t>チンギン</t>
    </rPh>
    <rPh sb="2" eb="4">
      <t>ニチガク</t>
    </rPh>
    <phoneticPr fontId="1"/>
  </si>
  <si>
    <t>２．基本手当日額</t>
    <rPh sb="2" eb="4">
      <t>キホン</t>
    </rPh>
    <rPh sb="4" eb="6">
      <t>テアテ</t>
    </rPh>
    <rPh sb="6" eb="8">
      <t>ニチガク</t>
    </rPh>
    <phoneticPr fontId="1"/>
  </si>
  <si>
    <t>29歳以下</t>
    <rPh sb="2" eb="3">
      <t>サイ</t>
    </rPh>
    <rPh sb="3" eb="5">
      <t>イカ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</si>
  <si>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</si>
  <si>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</si>
  <si>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</si>
  <si>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</si>
  <si>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区分</t>
    <rPh sb="0" eb="2">
      <t>クブン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</si>
  <si>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</si>
  <si>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</si>
  <si>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</si>
  <si>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</si>
  <si>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雇用保険加入期間（被保険者期間）</t>
    <rPh sb="0" eb="2">
      <t>コヨウ</t>
    </rPh>
    <rPh sb="2" eb="4">
      <t>ホケン</t>
    </rPh>
    <rPh sb="4" eb="6">
      <t>カニュウ</t>
    </rPh>
    <rPh sb="6" eb="8">
      <t>キカン</t>
    </rPh>
    <rPh sb="9" eb="13">
      <t>ヒホケンシャ</t>
    </rPh>
    <rPh sb="13" eb="15">
      <t>キカン</t>
    </rPh>
    <phoneticPr fontId="1"/>
  </si>
  <si>
    <t>３．基本手当（失業保険）の給付日数と支給合計額</t>
    <rPh sb="2" eb="4">
      <t>キホン</t>
    </rPh>
    <rPh sb="4" eb="6">
      <t>テアテ</t>
    </rPh>
    <rPh sb="7" eb="9">
      <t>シツギョウ</t>
    </rPh>
    <rPh sb="9" eb="11">
      <t>ホケン</t>
    </rPh>
    <rPh sb="13" eb="15">
      <t>キュウフ</t>
    </rPh>
    <rPh sb="15" eb="17">
      <t>ニッスウ</t>
    </rPh>
    <rPh sb="18" eb="20">
      <t>シキュウ</t>
    </rPh>
    <rPh sb="20" eb="22">
      <t>ゴウケイ</t>
    </rPh>
    <rPh sb="22" eb="23">
      <t>ガク</t>
    </rPh>
    <phoneticPr fontId="1"/>
  </si>
  <si>
    <t>２．賃金日額・基本手当日額</t>
    <rPh sb="2" eb="4">
      <t>チンギン</t>
    </rPh>
    <rPh sb="4" eb="6">
      <t>ニチガク</t>
    </rPh>
    <rPh sb="7" eb="9">
      <t>キホン</t>
    </rPh>
    <rPh sb="9" eb="11">
      <t>テアテ</t>
    </rPh>
    <rPh sb="11" eb="13">
      <t>ニチガク</t>
    </rPh>
    <phoneticPr fontId="1"/>
  </si>
  <si>
    <t>基本手当日額</t>
    <rPh sb="0" eb="2">
      <t>キホン</t>
    </rPh>
    <rPh sb="2" eb="4">
      <t>テアテ</t>
    </rPh>
    <rPh sb="4" eb="6">
      <t>ニチガク</t>
    </rPh>
    <phoneticPr fontId="1"/>
  </si>
  <si>
    <t>退職理由</t>
    <rPh sb="0" eb="2">
      <t>タイショク</t>
    </rPh>
    <rPh sb="2" eb="4">
      <t>リユウ</t>
    </rPh>
    <phoneticPr fontId="1"/>
  </si>
  <si>
    <t>年</t>
    <rPh sb="0" eb="1">
      <t>ネン</t>
    </rPh>
    <phoneticPr fontId="1"/>
  </si>
  <si>
    <t>所定給付日数</t>
  </si>
  <si>
    <t>② 倒産、解雇、一定の要件を満たす雇止め等で離職された方（③を除く）</t>
  </si>
  <si>
    <t>③ 障害者等の就職が困難な方（ご本人からの申し出が必要となります）</t>
  </si>
  <si>
    <t>３．所定給付日数</t>
    <rPh sb="2" eb="4">
      <t>ショテイ</t>
    </rPh>
    <rPh sb="4" eb="6">
      <t>キュウフ</t>
    </rPh>
    <rPh sb="6" eb="8">
      <t>ニッスウ</t>
    </rPh>
    <phoneticPr fontId="1"/>
  </si>
  <si>
    <t>雇用保険の被保険者であった期間</t>
    <rPh sb="0" eb="2">
      <t>コヨウ</t>
    </rPh>
    <rPh sb="2" eb="4">
      <t>ホケン</t>
    </rPh>
    <rPh sb="5" eb="9">
      <t>ヒホケンシャ</t>
    </rPh>
    <rPh sb="13" eb="15">
      <t>キカン</t>
    </rPh>
    <phoneticPr fontId="1"/>
  </si>
  <si>
    <t>①契約期間満了、定年退職、自己の意思で離職した方（②および③以外の全ての離職者）</t>
    <phoneticPr fontId="1"/>
  </si>
  <si>
    <t>１年未満</t>
    <rPh sb="1" eb="2">
      <t>ネン</t>
    </rPh>
    <rPh sb="2" eb="4">
      <t>ミマン</t>
    </rPh>
    <phoneticPr fontId="1"/>
  </si>
  <si>
    <t>１年以上
５年未満</t>
    <rPh sb="1" eb="2">
      <t>ネン</t>
    </rPh>
    <rPh sb="2" eb="4">
      <t>イジョウ</t>
    </rPh>
    <rPh sb="6" eb="7">
      <t>ネン</t>
    </rPh>
    <rPh sb="7" eb="9">
      <t>ミマン</t>
    </rPh>
    <phoneticPr fontId="1"/>
  </si>
  <si>
    <t>５年以上
１０年未満</t>
    <rPh sb="1" eb="2">
      <t>ネン</t>
    </rPh>
    <rPh sb="2" eb="4">
      <t>イジョウ</t>
    </rPh>
    <rPh sb="7" eb="8">
      <t>ネン</t>
    </rPh>
    <rPh sb="8" eb="10">
      <t>ミマン</t>
    </rPh>
    <phoneticPr fontId="1"/>
  </si>
  <si>
    <t>１０年以上
２０年未満</t>
    <rPh sb="2" eb="3">
      <t>ネン</t>
    </rPh>
    <rPh sb="3" eb="5">
      <t>イジョウ</t>
    </rPh>
    <rPh sb="8" eb="9">
      <t>ネン</t>
    </rPh>
    <rPh sb="9" eb="11">
      <t>ミマン</t>
    </rPh>
    <phoneticPr fontId="1"/>
  </si>
  <si>
    <t>２０年以上</t>
    <rPh sb="2" eb="3">
      <t>ネン</t>
    </rPh>
    <rPh sb="3" eb="5">
      <t>イジョウ</t>
    </rPh>
    <phoneticPr fontId="1"/>
  </si>
  <si>
    <t>全年齢</t>
    <rPh sb="0" eb="3">
      <t>ゼンネンレイ</t>
    </rPh>
    <phoneticPr fontId="1"/>
  </si>
  <si>
    <t>29歳以下</t>
    <rPh sb="2" eb="3">
      <t>サイ</t>
    </rPh>
    <rPh sb="3" eb="5">
      <t>イカ</t>
    </rPh>
    <phoneticPr fontId="1"/>
  </si>
  <si>
    <t>30～34歳</t>
    <rPh sb="5" eb="6">
      <t>サイ</t>
    </rPh>
    <phoneticPr fontId="1"/>
  </si>
  <si>
    <t>35～44歳</t>
    <rPh sb="5" eb="6">
      <t>サイ</t>
    </rPh>
    <phoneticPr fontId="1"/>
  </si>
  <si>
    <t>45～59歳</t>
    <rPh sb="5" eb="6">
      <t>サイ</t>
    </rPh>
    <phoneticPr fontId="1"/>
  </si>
  <si>
    <t>60～64歳</t>
    <rPh sb="5" eb="6">
      <t>サイ</t>
    </rPh>
    <phoneticPr fontId="1"/>
  </si>
  <si>
    <t>44歳以下</t>
    <rPh sb="2" eb="3">
      <t>サイ</t>
    </rPh>
    <rPh sb="3" eb="5">
      <t>イカ</t>
    </rPh>
    <phoneticPr fontId="1"/>
  </si>
  <si>
    <t>45～64歳</t>
    <rPh sb="5" eb="6">
      <t>サイ</t>
    </rPh>
    <phoneticPr fontId="1"/>
  </si>
  <si>
    <t>失業保険支給合計額</t>
    <rPh sb="0" eb="2">
      <t>シツギョウ</t>
    </rPh>
    <rPh sb="2" eb="4">
      <t>ホケン</t>
    </rPh>
    <rPh sb="4" eb="6">
      <t>シキュウ</t>
    </rPh>
    <rPh sb="6" eb="8">
      <t>ゴウケイ</t>
    </rPh>
    <rPh sb="8" eb="9">
      <t>ガク</t>
    </rPh>
    <phoneticPr fontId="1"/>
  </si>
  <si>
    <t>条件該当</t>
    <rPh sb="0" eb="2">
      <t>ジョウケン</t>
    </rPh>
    <rPh sb="2" eb="4">
      <t>ガイトウ</t>
    </rPh>
    <phoneticPr fontId="1"/>
  </si>
  <si>
    <t>該当条件</t>
    <rPh sb="0" eb="2">
      <t>ガイトウ</t>
    </rPh>
    <rPh sb="2" eb="4">
      <t>ジョウケン</t>
    </rPh>
    <phoneticPr fontId="1"/>
  </si>
  <si>
    <t>合計</t>
    <rPh sb="0" eb="2">
      <t>ゴウケイ</t>
    </rPh>
    <phoneticPr fontId="1"/>
  </si>
  <si>
    <t>給付日数</t>
    <rPh sb="0" eb="2">
      <t>キュウフ</t>
    </rPh>
    <rPh sb="2" eb="4">
      <t>ニッスウ</t>
    </rPh>
    <phoneticPr fontId="1"/>
  </si>
  <si>
    <t>日</t>
    <rPh sb="0" eb="1">
      <t>ニチ</t>
    </rPh>
    <phoneticPr fontId="1"/>
  </si>
  <si>
    <t>支給残日数</t>
    <rPh sb="0" eb="2">
      <t>シキュウ</t>
    </rPh>
    <rPh sb="2" eb="3">
      <t>ザン</t>
    </rPh>
    <rPh sb="3" eb="5">
      <t>ニッスウ</t>
    </rPh>
    <phoneticPr fontId="1"/>
  </si>
  <si>
    <t>支給残日数</t>
    <rPh sb="0" eb="2">
      <t>シキュウ</t>
    </rPh>
    <rPh sb="2" eb="3">
      <t>ザン</t>
    </rPh>
    <rPh sb="3" eb="5">
      <t>ニッスウ</t>
    </rPh>
    <phoneticPr fontId="1"/>
  </si>
  <si>
    <t>日</t>
    <rPh sb="0" eb="1">
      <t>ニチ</t>
    </rPh>
    <phoneticPr fontId="1"/>
  </si>
  <si>
    <t>再就職手当に係る基本手当日額</t>
    <rPh sb="0" eb="3">
      <t>サイシュウショク</t>
    </rPh>
    <rPh sb="3" eb="5">
      <t>テアテ</t>
    </rPh>
    <rPh sb="6" eb="7">
      <t>カカ</t>
    </rPh>
    <rPh sb="8" eb="10">
      <t>キホン</t>
    </rPh>
    <rPh sb="10" eb="12">
      <t>テアテ</t>
    </rPh>
    <rPh sb="12" eb="14">
      <t>ニチガク</t>
    </rPh>
    <phoneticPr fontId="1"/>
  </si>
  <si>
    <t>４．再就職手当の額</t>
    <rPh sb="2" eb="5">
      <t>サイシュウショク</t>
    </rPh>
    <rPh sb="5" eb="7">
      <t>テアテ</t>
    </rPh>
    <rPh sb="8" eb="9">
      <t>ガク</t>
    </rPh>
    <phoneticPr fontId="1"/>
  </si>
  <si>
    <t>再就職手当の額</t>
    <rPh sb="0" eb="3">
      <t>サイシュウショク</t>
    </rPh>
    <rPh sb="3" eb="5">
      <t>テアテ</t>
    </rPh>
    <rPh sb="6" eb="7">
      <t>ガク</t>
    </rPh>
    <phoneticPr fontId="1"/>
  </si>
  <si>
    <t>４．再就職手当</t>
    <rPh sb="2" eb="5">
      <t>サイシュウショク</t>
    </rPh>
    <rPh sb="5" eb="7">
      <t>テアテ</t>
    </rPh>
    <phoneticPr fontId="1"/>
  </si>
  <si>
    <t>所定給付日数</t>
    <rPh sb="0" eb="2">
      <t>ショテイ</t>
    </rPh>
    <rPh sb="2" eb="4">
      <t>キュウフ</t>
    </rPh>
    <rPh sb="4" eb="6">
      <t>ニッスウ</t>
    </rPh>
    <phoneticPr fontId="1"/>
  </si>
  <si>
    <t>離職時の年齢</t>
    <rPh sb="0" eb="2">
      <t>リショク</t>
    </rPh>
    <rPh sb="2" eb="3">
      <t>ジ</t>
    </rPh>
    <rPh sb="4" eb="6">
      <t>ネンレイ</t>
    </rPh>
    <phoneticPr fontId="1"/>
  </si>
  <si>
    <t>①支給残日数</t>
    <rPh sb="1" eb="3">
      <t>シキュウ</t>
    </rPh>
    <rPh sb="3" eb="4">
      <t>ザン</t>
    </rPh>
    <rPh sb="4" eb="6">
      <t>ニッスウ</t>
    </rPh>
    <phoneticPr fontId="1"/>
  </si>
  <si>
    <t>再就職手当支給該当</t>
    <rPh sb="0" eb="3">
      <t>サイシュウショク</t>
    </rPh>
    <rPh sb="3" eb="5">
      <t>テアテ</t>
    </rPh>
    <rPh sb="5" eb="7">
      <t>シキュウ</t>
    </rPh>
    <rPh sb="7" eb="9">
      <t>ガイトウ</t>
    </rPh>
    <phoneticPr fontId="1"/>
  </si>
  <si>
    <t>90日</t>
    <rPh sb="2" eb="3">
      <t>ニチ</t>
    </rPh>
    <phoneticPr fontId="1"/>
  </si>
  <si>
    <t>120日</t>
    <rPh sb="3" eb="4">
      <t>ニチ</t>
    </rPh>
    <phoneticPr fontId="1"/>
  </si>
  <si>
    <t>150日</t>
    <rPh sb="3" eb="4">
      <t>ニチ</t>
    </rPh>
    <phoneticPr fontId="1"/>
  </si>
  <si>
    <t>180日</t>
    <rPh sb="3" eb="4">
      <t>ニチ</t>
    </rPh>
    <phoneticPr fontId="1"/>
  </si>
  <si>
    <t>210日</t>
    <rPh sb="3" eb="4">
      <t>ニチ</t>
    </rPh>
    <phoneticPr fontId="1"/>
  </si>
  <si>
    <t>240日</t>
    <rPh sb="3" eb="4">
      <t>ニチ</t>
    </rPh>
    <phoneticPr fontId="1"/>
  </si>
  <si>
    <t>270日</t>
    <rPh sb="3" eb="4">
      <t>ニチ</t>
    </rPh>
    <phoneticPr fontId="1"/>
  </si>
  <si>
    <t>300日</t>
    <rPh sb="3" eb="4">
      <t>ニチ</t>
    </rPh>
    <phoneticPr fontId="1"/>
  </si>
  <si>
    <t>330日</t>
    <rPh sb="3" eb="4">
      <t>ニチ</t>
    </rPh>
    <phoneticPr fontId="1"/>
  </si>
  <si>
    <t>360日</t>
    <rPh sb="3" eb="4">
      <t>ニチ</t>
    </rPh>
    <phoneticPr fontId="1"/>
  </si>
  <si>
    <t>支給率</t>
    <rPh sb="0" eb="3">
      <t>シキュウリツ</t>
    </rPh>
    <phoneticPr fontId="1"/>
  </si>
  <si>
    <t>確定</t>
    <rPh sb="0" eb="2">
      <t>カクテイ</t>
    </rPh>
    <phoneticPr fontId="1"/>
  </si>
  <si>
    <t>支給率</t>
    <rPh sb="0" eb="3">
      <t>シキュウリツ</t>
    </rPh>
    <phoneticPr fontId="1"/>
  </si>
  <si>
    <t>②再就職手当に係る基本手当日額</t>
    <rPh sb="1" eb="4">
      <t>サイシュウショク</t>
    </rPh>
    <rPh sb="4" eb="6">
      <t>テアテ</t>
    </rPh>
    <rPh sb="7" eb="8">
      <t>カカ</t>
    </rPh>
    <rPh sb="9" eb="11">
      <t>キホン</t>
    </rPh>
    <rPh sb="11" eb="13">
      <t>テアテ</t>
    </rPh>
    <rPh sb="13" eb="15">
      <t>ニチガク</t>
    </rPh>
    <phoneticPr fontId="1"/>
  </si>
  <si>
    <t>離職時の年齢が６０歳未満の方</t>
    <rPh sb="0" eb="2">
      <t>リショク</t>
    </rPh>
    <rPh sb="2" eb="3">
      <t>ジ</t>
    </rPh>
    <rPh sb="4" eb="6">
      <t>ネンレイ</t>
    </rPh>
    <rPh sb="9" eb="10">
      <t>サイ</t>
    </rPh>
    <rPh sb="10" eb="12">
      <t>ミマン</t>
    </rPh>
    <rPh sb="13" eb="14">
      <t>カタ</t>
    </rPh>
    <phoneticPr fontId="1"/>
  </si>
  <si>
    <t>離職時の年齢が６０歳以上６５歳未満の方</t>
    <rPh sb="0" eb="2">
      <t>リショク</t>
    </rPh>
    <rPh sb="2" eb="3">
      <t>ジ</t>
    </rPh>
    <rPh sb="4" eb="6">
      <t>ネンレイ</t>
    </rPh>
    <rPh sb="9" eb="10">
      <t>サイ</t>
    </rPh>
    <rPh sb="10" eb="12">
      <t>イジョウ</t>
    </rPh>
    <rPh sb="14" eb="15">
      <t>サイ</t>
    </rPh>
    <rPh sb="15" eb="17">
      <t>ミマン</t>
    </rPh>
    <rPh sb="18" eb="19">
      <t>カタ</t>
    </rPh>
    <phoneticPr fontId="1"/>
  </si>
  <si>
    <t>上限額</t>
    <rPh sb="0" eb="3">
      <t>ジョウゲンガク</t>
    </rPh>
    <phoneticPr fontId="1"/>
  </si>
  <si>
    <t>円</t>
    <rPh sb="0" eb="1">
      <t>エン</t>
    </rPh>
    <phoneticPr fontId="1"/>
  </si>
  <si>
    <t>60～64歳</t>
  </si>
  <si>
    <t>60歳未満</t>
    <rPh sb="2" eb="3">
      <t>サイ</t>
    </rPh>
    <rPh sb="3" eb="5">
      <t>ミマン</t>
    </rPh>
    <phoneticPr fontId="1"/>
  </si>
  <si>
    <t>該当</t>
    <rPh sb="0" eb="2">
      <t>ガイトウ</t>
    </rPh>
    <phoneticPr fontId="1"/>
  </si>
  <si>
    <t>基本手当
日額</t>
    <rPh sb="0" eb="2">
      <t>キホン</t>
    </rPh>
    <rPh sb="2" eb="4">
      <t>テアテ</t>
    </rPh>
    <rPh sb="5" eb="7">
      <t>ニチガク</t>
    </rPh>
    <phoneticPr fontId="1"/>
  </si>
  <si>
    <t>再就職手当に係る基本手当日額</t>
    <phoneticPr fontId="1"/>
  </si>
  <si>
    <t>支給率</t>
    <rPh sb="0" eb="3">
      <t>シキュウリツ</t>
    </rPh>
    <phoneticPr fontId="1"/>
  </si>
  <si>
    <t>％</t>
    <phoneticPr fontId="1"/>
  </si>
  <si>
    <t>自己都合による退職</t>
  </si>
  <si>
    <t>５年以上１０年未満</t>
  </si>
  <si>
    <t>入力箇所　</t>
    <rPh sb="0" eb="2">
      <t>ニュウリョク</t>
    </rPh>
    <rPh sb="2" eb="4">
      <t>カショ</t>
    </rPh>
    <phoneticPr fontId="1"/>
  </si>
  <si>
    <t>基本手当（失業保険）・再就職手当・就業促進定着手当算出表【概算】</t>
    <rPh sb="0" eb="2">
      <t>キホン</t>
    </rPh>
    <rPh sb="2" eb="4">
      <t>テアテ</t>
    </rPh>
    <rPh sb="5" eb="7">
      <t>シツギョウ</t>
    </rPh>
    <rPh sb="7" eb="9">
      <t>ホケン</t>
    </rPh>
    <rPh sb="11" eb="14">
      <t>サイシュウショク</t>
    </rPh>
    <rPh sb="14" eb="16">
      <t>テアテ</t>
    </rPh>
    <rPh sb="17" eb="19">
      <t>シュウギョウ</t>
    </rPh>
    <rPh sb="19" eb="21">
      <t>ソクシン</t>
    </rPh>
    <rPh sb="21" eb="23">
      <t>テイチャク</t>
    </rPh>
    <rPh sb="23" eb="25">
      <t>テアテ</t>
    </rPh>
    <rPh sb="25" eb="27">
      <t>サンシュツ</t>
    </rPh>
    <rPh sb="27" eb="28">
      <t>ヒョウ</t>
    </rPh>
    <rPh sb="29" eb="31">
      <t>ガイサン</t>
    </rPh>
    <phoneticPr fontId="1"/>
  </si>
  <si>
    <t>５．就業促進定着手当の額</t>
    <rPh sb="2" eb="4">
      <t>シュウギョウ</t>
    </rPh>
    <rPh sb="4" eb="6">
      <t>ソクシン</t>
    </rPh>
    <rPh sb="6" eb="8">
      <t>テイチャク</t>
    </rPh>
    <rPh sb="8" eb="10">
      <t>テアテ</t>
    </rPh>
    <rPh sb="11" eb="12">
      <t>ガク</t>
    </rPh>
    <phoneticPr fontId="1"/>
  </si>
  <si>
    <t>再就職後６ヶ月間の月額平均給与</t>
    <rPh sb="0" eb="3">
      <t>サイシュウショク</t>
    </rPh>
    <rPh sb="3" eb="4">
      <t>ゴ</t>
    </rPh>
    <rPh sb="6" eb="7">
      <t>ゲツ</t>
    </rPh>
    <rPh sb="7" eb="8">
      <t>カン</t>
    </rPh>
    <rPh sb="9" eb="11">
      <t>ゲツガク</t>
    </rPh>
    <rPh sb="11" eb="13">
      <t>ヘイキン</t>
    </rPh>
    <rPh sb="13" eb="15">
      <t>キュウヨ</t>
    </rPh>
    <phoneticPr fontId="1"/>
  </si>
  <si>
    <t>再就職日（入職日）</t>
    <rPh sb="0" eb="3">
      <t>サイシュウショク</t>
    </rPh>
    <rPh sb="3" eb="4">
      <t>ビ</t>
    </rPh>
    <rPh sb="5" eb="8">
      <t>ニュウショクビ</t>
    </rPh>
    <phoneticPr fontId="1"/>
  </si>
  <si>
    <t>就業促進定着手当の上限額</t>
    <rPh sb="9" eb="12">
      <t>ジョウゲンガク</t>
    </rPh>
    <phoneticPr fontId="1"/>
  </si>
  <si>
    <t>就業促進定着手当の額</t>
    <phoneticPr fontId="1"/>
  </si>
  <si>
    <t>円</t>
    <rPh sb="0" eb="1">
      <t>エン</t>
    </rPh>
    <phoneticPr fontId="1"/>
  </si>
  <si>
    <t>再就職後６ヶ月間の賃金の支払い基礎となった日数</t>
    <rPh sb="0" eb="4">
      <t>サイシュウショクゴ</t>
    </rPh>
    <rPh sb="6" eb="7">
      <t>ゲツ</t>
    </rPh>
    <rPh sb="7" eb="8">
      <t>カン</t>
    </rPh>
    <rPh sb="9" eb="11">
      <t>チンギン</t>
    </rPh>
    <rPh sb="12" eb="14">
      <t>シハラ</t>
    </rPh>
    <rPh sb="15" eb="17">
      <t>キソ</t>
    </rPh>
    <rPh sb="21" eb="23">
      <t>ニッスウ</t>
    </rPh>
    <phoneticPr fontId="1"/>
  </si>
  <si>
    <t>日</t>
    <rPh sb="0" eb="1">
      <t>ニチ</t>
    </rPh>
    <phoneticPr fontId="1"/>
  </si>
  <si>
    <t>再就職日から６ヶ月の日付</t>
    <rPh sb="0" eb="1">
      <t>サイ</t>
    </rPh>
    <rPh sb="1" eb="3">
      <t>シュウショク</t>
    </rPh>
    <rPh sb="3" eb="4">
      <t>ヒ</t>
    </rPh>
    <rPh sb="8" eb="9">
      <t>ゲツ</t>
    </rPh>
    <rPh sb="10" eb="12">
      <t>ヒヅケ</t>
    </rPh>
    <phoneticPr fontId="1"/>
  </si>
  <si>
    <t>再就職後６ヶ月間の賃金の１日分の額</t>
    <rPh sb="0" eb="4">
      <t>サイシュウショクゴ</t>
    </rPh>
    <rPh sb="6" eb="7">
      <t>ゲツ</t>
    </rPh>
    <rPh sb="7" eb="8">
      <t>カン</t>
    </rPh>
    <rPh sb="9" eb="11">
      <t>チンギン</t>
    </rPh>
    <rPh sb="13" eb="15">
      <t>ニチブン</t>
    </rPh>
    <rPh sb="16" eb="17">
      <t>ガク</t>
    </rPh>
    <phoneticPr fontId="1"/>
  </si>
  <si>
    <t>円</t>
    <rPh sb="0" eb="1">
      <t>エン</t>
    </rPh>
    <phoneticPr fontId="1"/>
  </si>
  <si>
    <t>５．就業促進定着手当の額</t>
    <phoneticPr fontId="1"/>
  </si>
  <si>
    <t>就業促進定着手当の額（上限なしの場合）</t>
    <rPh sb="11" eb="13">
      <t>ジョウゲン</t>
    </rPh>
    <rPh sb="16" eb="18">
      <t>バアイ</t>
    </rPh>
    <phoneticPr fontId="1"/>
  </si>
  <si>
    <t>※常勤職員として、再就職した場合の支給額を算出</t>
    <rPh sb="1" eb="3">
      <t>ジョウキン</t>
    </rPh>
    <rPh sb="3" eb="5">
      <t>ショクイン</t>
    </rPh>
    <rPh sb="9" eb="12">
      <t>サイシュウショク</t>
    </rPh>
    <rPh sb="14" eb="16">
      <t>バアイ</t>
    </rPh>
    <rPh sb="17" eb="20">
      <t>シキュウガク</t>
    </rPh>
    <rPh sb="21" eb="23">
      <t>サンシュツ</t>
    </rPh>
    <phoneticPr fontId="1"/>
  </si>
  <si>
    <t>前職と再就職先の賃金日額の差額</t>
    <rPh sb="0" eb="2">
      <t>ゼンショク</t>
    </rPh>
    <rPh sb="3" eb="6">
      <t>サイシュウショク</t>
    </rPh>
    <rPh sb="6" eb="7">
      <t>サキ</t>
    </rPh>
    <rPh sb="8" eb="10">
      <t>チンギン</t>
    </rPh>
    <rPh sb="10" eb="12">
      <t>ニチガク</t>
    </rPh>
    <rPh sb="13" eb="15">
      <t>サガク</t>
    </rPh>
    <phoneticPr fontId="1"/>
  </si>
  <si>
    <t>前職と再就職先の賃金日額の差額</t>
    <phoneticPr fontId="1"/>
  </si>
  <si>
    <t>円</t>
    <rPh sb="0" eb="1">
      <t>エン</t>
    </rPh>
    <phoneticPr fontId="1"/>
  </si>
  <si>
    <t>※令和６年８月１日現在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</si>
</sst>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);[Red]\(0.00\)"/>
    <numFmt numFmtId="177" formatCode="#,##0_);[Red]\(#,##0\)"/>
    <numFmt numFmtId="178" formatCode="#,##0_ "/>
    <numFmt numFmtId="179" formatCode="[$-F800]dddd\,\ mmmm\ dd\,\ yyyy"/>
    <numFmt numFmtId="180" formatCode="#,##0_ ;[Red]\-#,##0\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 applyAlignment="1">
      <alignment horizontal="right"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177" fontId="0" fillId="0" borderId="9" xfId="0" applyNumberFormat="1" applyBorder="1" applyAlignment="1">
      <alignment horizontal="right" vertical="center"/>
    </xf>
    <xf numFmtId="0" fontId="3" fillId="0" borderId="0" xfId="0" applyFont="1">
      <alignment vertical="center"/>
    </xf>
    <xf numFmtId="14" fontId="0" fillId="0" borderId="0" xfId="0" applyNumberFormat="1">
      <alignment vertical="center"/>
    </xf>
    <xf numFmtId="177" fontId="0" fillId="0" borderId="5" xfId="0" applyNumberFormat="1" applyBorder="1" applyAlignment="1">
      <alignment horizontal="right" vertical="center"/>
    </xf>
    <xf numFmtId="177" fontId="0" fillId="0" borderId="6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77" fontId="0" fillId="0" borderId="7" xfId="0" applyNumberFormat="1" applyBorder="1">
      <alignment vertical="center"/>
    </xf>
    <xf numFmtId="177" fontId="0" fillId="2" borderId="9" xfId="0" applyNumberFormat="1" applyFill="1" applyBorder="1" applyAlignment="1">
      <alignment horizontal="right" vertical="center"/>
    </xf>
    <xf numFmtId="177" fontId="0" fillId="0" borderId="0" xfId="0" applyNumberFormat="1">
      <alignment vertical="center"/>
    </xf>
    <xf numFmtId="177" fontId="0" fillId="0" borderId="2" xfId="0" applyNumberFormat="1" applyBorder="1">
      <alignment vertical="center"/>
    </xf>
    <xf numFmtId="178" fontId="0" fillId="0" borderId="0" xfId="0" applyNumberFormat="1" applyAlignment="1">
      <alignment horizontal="center" vertical="center"/>
    </xf>
    <xf numFmtId="178" fontId="0" fillId="0" borderId="0" xfId="0" applyNumberFormat="1">
      <alignment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0" fillId="2" borderId="8" xfId="0" applyNumberFormat="1" applyFill="1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9" fontId="0" fillId="0" borderId="0" xfId="0" applyNumberFormat="1" applyAlignment="1">
      <alignment horizontal="center" vertical="center"/>
    </xf>
    <xf numFmtId="9" fontId="0" fillId="0" borderId="0" xfId="0" applyNumberFormat="1">
      <alignment vertical="center"/>
    </xf>
    <xf numFmtId="9" fontId="0" fillId="0" borderId="6" xfId="0" applyNumberFormat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/>
    </xf>
    <xf numFmtId="177" fontId="0" fillId="0" borderId="0" xfId="0" applyNumberFormat="1" applyAlignment="1">
      <alignment horizontal="center" vertical="center"/>
    </xf>
    <xf numFmtId="177" fontId="0" fillId="2" borderId="0" xfId="0" applyNumberFormat="1" applyFill="1">
      <alignment vertical="center"/>
    </xf>
    <xf numFmtId="177" fontId="0" fillId="2" borderId="0" xfId="0" applyNumberFormat="1" applyFill="1" applyAlignment="1">
      <alignment horizontal="right" vertical="center"/>
    </xf>
    <xf numFmtId="0" fontId="0" fillId="2" borderId="0" xfId="0" applyFill="1">
      <alignment vertical="center"/>
    </xf>
    <xf numFmtId="178" fontId="0" fillId="2" borderId="0" xfId="0" applyNumberFormat="1" applyFill="1" applyAlignment="1">
      <alignment horizontal="center" vertical="center"/>
    </xf>
    <xf numFmtId="178" fontId="0" fillId="2" borderId="0" xfId="0" applyNumberFormat="1" applyFill="1">
      <alignment vertical="center"/>
    </xf>
    <xf numFmtId="0" fontId="0" fillId="2" borderId="0" xfId="0" applyFill="1" applyAlignment="1">
      <alignment horizontal="center" vertical="center"/>
    </xf>
    <xf numFmtId="180" fontId="0" fillId="0" borderId="9" xfId="0" applyNumberFormat="1" applyBorder="1" applyAlignment="1">
      <alignment horizontal="right" vertical="center"/>
    </xf>
    <xf numFmtId="179" fontId="0" fillId="0" borderId="6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7" fontId="0" fillId="2" borderId="8" xfId="0" applyNumberFormat="1" applyFill="1" applyBorder="1" applyAlignment="1">
      <alignment horizontal="center" vertical="center"/>
    </xf>
    <xf numFmtId="177" fontId="0" fillId="2" borderId="6" xfId="0" applyNumberFormat="1" applyFill="1" applyBorder="1" applyAlignment="1">
      <alignment horizontal="center" vertical="center"/>
    </xf>
    <xf numFmtId="179" fontId="0" fillId="2" borderId="7" xfId="0" applyNumberFormat="1" applyFill="1" applyBorder="1" applyAlignment="1">
      <alignment horizontal="center" vertical="center"/>
    </xf>
    <xf numFmtId="179" fontId="0" fillId="2" borderId="1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71</xdr:row>
      <xdr:rowOff>95249</xdr:rowOff>
    </xdr:from>
    <xdr:to>
      <xdr:col>8</xdr:col>
      <xdr:colOff>592837</xdr:colOff>
      <xdr:row>92</xdr:row>
      <xdr:rowOff>700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1" y="13144499"/>
          <a:ext cx="6193536" cy="35059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36"/>
  <sheetViews>
    <sheetView tabSelected="1" workbookViewId="0">
      <selection activeCell="D6" sqref="D6"/>
    </sheetView>
  </sheetViews>
  <sheetFormatPr defaultRowHeight="13.5" x14ac:dyDescent="0.15"/>
  <cols>
    <col min="1" max="1" width="3.25" customWidth="1"/>
    <col min="2" max="2" width="3.5" customWidth="1"/>
    <col min="3" max="3" width="27.625" customWidth="1"/>
    <col min="4" max="4" width="18" style="3" customWidth="1"/>
    <col min="5" max="5" width="6.125" style="3" customWidth="1"/>
    <col min="6" max="6" width="14.625" style="3" customWidth="1"/>
    <col min="7" max="7" width="4.875" customWidth="1"/>
    <col min="8" max="8" width="4.25" style="2" customWidth="1"/>
  </cols>
  <sheetData>
    <row r="1" spans="1:6" ht="30" customHeight="1" x14ac:dyDescent="0.15">
      <c r="A1" s="8" t="s">
        <v>98</v>
      </c>
    </row>
    <row r="2" spans="1:6" ht="15" customHeight="1" x14ac:dyDescent="0.15">
      <c r="A2" s="4"/>
    </row>
    <row r="3" spans="1:6" x14ac:dyDescent="0.15">
      <c r="C3" s="31" t="s">
        <v>97</v>
      </c>
      <c r="D3" s="33"/>
      <c r="E3" s="16"/>
      <c r="F3" s="32"/>
    </row>
    <row r="4" spans="1:6" ht="21.75" customHeight="1" x14ac:dyDescent="0.15">
      <c r="A4" s="8" t="s">
        <v>0</v>
      </c>
    </row>
    <row r="5" spans="1:6" ht="9" customHeight="1" x14ac:dyDescent="0.15"/>
    <row r="6" spans="1:6" ht="21.75" customHeight="1" x14ac:dyDescent="0.15">
      <c r="B6" s="44" t="s">
        <v>67</v>
      </c>
      <c r="C6" s="45"/>
      <c r="D6" s="23" t="s">
        <v>47</v>
      </c>
      <c r="E6" s="14" t="s">
        <v>2</v>
      </c>
      <c r="F6" s="9"/>
    </row>
    <row r="7" spans="1:6" ht="21.75" customHeight="1" x14ac:dyDescent="0.15">
      <c r="B7" s="41" t="s">
        <v>3</v>
      </c>
      <c r="C7" s="42"/>
      <c r="D7" s="15">
        <v>300000</v>
      </c>
      <c r="E7" s="6" t="s">
        <v>1</v>
      </c>
      <c r="F7" s="9"/>
    </row>
    <row r="8" spans="1:6" ht="21.75" customHeight="1" x14ac:dyDescent="0.15">
      <c r="B8" s="12" t="s">
        <v>28</v>
      </c>
      <c r="C8" s="13"/>
      <c r="D8" s="15" t="s">
        <v>96</v>
      </c>
      <c r="E8" s="6" t="s">
        <v>33</v>
      </c>
      <c r="F8" s="9"/>
    </row>
    <row r="9" spans="1:6" ht="21.75" customHeight="1" x14ac:dyDescent="0.15">
      <c r="B9" s="12" t="s">
        <v>32</v>
      </c>
      <c r="C9" s="13"/>
      <c r="D9" s="46" t="s">
        <v>95</v>
      </c>
      <c r="E9" s="47"/>
      <c r="F9" s="9"/>
    </row>
    <row r="10" spans="1:6" ht="15.95" customHeight="1" x14ac:dyDescent="0.15"/>
    <row r="11" spans="1:6" ht="21.75" customHeight="1" x14ac:dyDescent="0.15">
      <c r="A11" s="8" t="s">
        <v>30</v>
      </c>
    </row>
    <row r="12" spans="1:6" ht="9" customHeight="1" x14ac:dyDescent="0.15"/>
    <row r="13" spans="1:6" ht="21.75" customHeight="1" x14ac:dyDescent="0.15">
      <c r="B13" s="41" t="s">
        <v>16</v>
      </c>
      <c r="C13" s="42"/>
      <c r="D13" s="7">
        <f>計算シート!C13</f>
        <v>10000</v>
      </c>
      <c r="E13" s="6" t="s">
        <v>1</v>
      </c>
      <c r="F13" s="10"/>
    </row>
    <row r="14" spans="1:6" ht="23.25" customHeight="1" x14ac:dyDescent="0.15">
      <c r="B14" s="41" t="s">
        <v>31</v>
      </c>
      <c r="C14" s="42"/>
      <c r="D14" s="7">
        <f>計算シート!D26+計算シート!E26+計算シート!I26+計算シート!J26</f>
        <v>6102</v>
      </c>
      <c r="E14" s="11" t="s">
        <v>4</v>
      </c>
    </row>
    <row r="15" spans="1:6" ht="15.95" customHeight="1" x14ac:dyDescent="0.15"/>
    <row r="16" spans="1:6" ht="21.75" customHeight="1" x14ac:dyDescent="0.15">
      <c r="A16" s="8" t="s">
        <v>29</v>
      </c>
    </row>
    <row r="17" spans="1:6" ht="9" customHeight="1" x14ac:dyDescent="0.15"/>
    <row r="18" spans="1:6" ht="21.75" customHeight="1" x14ac:dyDescent="0.15">
      <c r="B18" s="41" t="s">
        <v>66</v>
      </c>
      <c r="C18" s="42"/>
      <c r="D18" s="7">
        <f>計算シート!C38+計算シート!C60</f>
        <v>90</v>
      </c>
      <c r="E18" s="6" t="s">
        <v>1</v>
      </c>
      <c r="F18" s="10"/>
    </row>
    <row r="19" spans="1:6" ht="23.25" customHeight="1" x14ac:dyDescent="0.15">
      <c r="B19" s="41" t="s">
        <v>53</v>
      </c>
      <c r="C19" s="42"/>
      <c r="D19" s="7">
        <f>D14*D18</f>
        <v>549180</v>
      </c>
      <c r="E19" s="11" t="s">
        <v>1</v>
      </c>
    </row>
    <row r="21" spans="1:6" ht="21.75" customHeight="1" x14ac:dyDescent="0.15">
      <c r="A21" s="8" t="s">
        <v>63</v>
      </c>
    </row>
    <row r="22" spans="1:6" ht="9" customHeight="1" x14ac:dyDescent="0.15"/>
    <row r="23" spans="1:6" ht="21.75" customHeight="1" x14ac:dyDescent="0.15">
      <c r="B23" s="41" t="s">
        <v>60</v>
      </c>
      <c r="C23" s="42"/>
      <c r="D23" s="15">
        <v>80</v>
      </c>
      <c r="E23" s="6" t="s">
        <v>61</v>
      </c>
      <c r="F23" s="10"/>
    </row>
    <row r="24" spans="1:6" ht="23.25" customHeight="1" x14ac:dyDescent="0.15">
      <c r="B24" s="41" t="s">
        <v>62</v>
      </c>
      <c r="C24" s="42"/>
      <c r="D24" s="7">
        <f>計算シート!E123</f>
        <v>6102</v>
      </c>
      <c r="E24" s="11" t="s">
        <v>1</v>
      </c>
    </row>
    <row r="25" spans="1:6" ht="23.25" customHeight="1" x14ac:dyDescent="0.15">
      <c r="B25" s="41" t="s">
        <v>93</v>
      </c>
      <c r="C25" s="43"/>
      <c r="D25" s="7">
        <f>計算シート!I112*100</f>
        <v>70</v>
      </c>
      <c r="E25" s="11" t="s">
        <v>94</v>
      </c>
    </row>
    <row r="26" spans="1:6" ht="23.25" customHeight="1" x14ac:dyDescent="0.15">
      <c r="B26" s="41" t="s">
        <v>64</v>
      </c>
      <c r="C26" s="42"/>
      <c r="D26" s="7">
        <f>ROUNDDOWN(D23*D24*計算シート!I112,0)</f>
        <v>341712</v>
      </c>
      <c r="E26" s="11" t="s">
        <v>1</v>
      </c>
    </row>
    <row r="28" spans="1:6" ht="21.75" customHeight="1" x14ac:dyDescent="0.15">
      <c r="A28" s="8" t="s">
        <v>99</v>
      </c>
    </row>
    <row r="29" spans="1:6" ht="9" customHeight="1" x14ac:dyDescent="0.15"/>
    <row r="30" spans="1:6" ht="23.25" customHeight="1" x14ac:dyDescent="0.15">
      <c r="B30" s="41" t="s">
        <v>100</v>
      </c>
      <c r="C30" s="42"/>
      <c r="D30" s="15">
        <v>280000</v>
      </c>
      <c r="E30" s="11" t="s">
        <v>104</v>
      </c>
    </row>
    <row r="31" spans="1:6" ht="23.25" customHeight="1" x14ac:dyDescent="0.15">
      <c r="B31" s="41" t="s">
        <v>101</v>
      </c>
      <c r="C31" s="42"/>
      <c r="D31" s="48">
        <v>45748</v>
      </c>
      <c r="E31" s="49"/>
    </row>
    <row r="32" spans="1:6" ht="23.25" customHeight="1" x14ac:dyDescent="0.15">
      <c r="B32" s="41" t="s">
        <v>114</v>
      </c>
      <c r="C32" s="43"/>
      <c r="D32" s="7">
        <f>計算シート!G131</f>
        <v>667</v>
      </c>
      <c r="E32" s="40" t="s">
        <v>115</v>
      </c>
    </row>
    <row r="33" spans="2:8" ht="23.25" customHeight="1" x14ac:dyDescent="0.15">
      <c r="B33" s="41" t="s">
        <v>102</v>
      </c>
      <c r="C33" s="42"/>
      <c r="D33" s="7">
        <f>D24*D23*0.2</f>
        <v>97632</v>
      </c>
      <c r="E33" s="11" t="s">
        <v>104</v>
      </c>
    </row>
    <row r="34" spans="2:8" ht="23.25" customHeight="1" x14ac:dyDescent="0.15">
      <c r="B34" s="41" t="s">
        <v>103</v>
      </c>
      <c r="C34" s="42"/>
      <c r="D34" s="39">
        <f>IF(D33&lt;計算シート!G132,雇用保険基本手当日額等算出!D33,計算シート!G132)</f>
        <v>97632</v>
      </c>
      <c r="E34" s="11" t="s">
        <v>104</v>
      </c>
      <c r="H34"/>
    </row>
    <row r="35" spans="2:8" ht="4.5" customHeight="1" x14ac:dyDescent="0.15"/>
    <row r="36" spans="2:8" x14ac:dyDescent="0.15">
      <c r="B36" t="s">
        <v>112</v>
      </c>
    </row>
  </sheetData>
  <dataConsolidate/>
  <mergeCells count="17">
    <mergeCell ref="D31:E31"/>
    <mergeCell ref="B30:C30"/>
    <mergeCell ref="B31:C31"/>
    <mergeCell ref="B33:C33"/>
    <mergeCell ref="B34:C34"/>
    <mergeCell ref="B32:C32"/>
    <mergeCell ref="B14:C14"/>
    <mergeCell ref="B6:C6"/>
    <mergeCell ref="B7:C7"/>
    <mergeCell ref="B13:C13"/>
    <mergeCell ref="D9:E9"/>
    <mergeCell ref="B18:C18"/>
    <mergeCell ref="B19:C19"/>
    <mergeCell ref="B23:C23"/>
    <mergeCell ref="B24:C24"/>
    <mergeCell ref="B26:C26"/>
    <mergeCell ref="B25:C25"/>
  </mergeCells>
  <phoneticPr fontId="1"/>
  <dataValidations count="2">
    <dataValidation type="list" allowBlank="1" showInputMessage="1" showErrorMessage="1" sqref="D9:E9" xr:uid="{00000000-0002-0000-0000-000000000000}">
      <formula1>"自己都合による退職,会社都合等による退職"</formula1>
    </dataValidation>
    <dataValidation type="list" allowBlank="1" showInputMessage="1" showErrorMessage="1" sqref="D8" xr:uid="{00000000-0002-0000-0000-000001000000}">
      <formula1>"１年未満,１年以上５年未満,５年以上１０年未満,１０年以上２０年未満,２０年以上"</formula1>
    </dataValidation>
  </dataValidations>
  <pageMargins left="0.7" right="0.4" top="0.66" bottom="0.3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計算シート!$B$46:$B$50</xm:f>
          </x14:formula1>
          <xm:sqref>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2"/>
  <sheetViews>
    <sheetView topLeftCell="A121" workbookViewId="0">
      <selection activeCell="G128" sqref="G128"/>
    </sheetView>
  </sheetViews>
  <sheetFormatPr defaultRowHeight="13.5" x14ac:dyDescent="0.15"/>
  <cols>
    <col min="1" max="1" width="3.125" customWidth="1"/>
    <col min="2" max="2" width="11.875" customWidth="1"/>
    <col min="3" max="3" width="9.5" customWidth="1"/>
    <col min="4" max="4" width="10.25" style="1" customWidth="1"/>
    <col min="5" max="10" width="10.25" customWidth="1"/>
  </cols>
  <sheetData>
    <row r="1" spans="1:10" x14ac:dyDescent="0.15">
      <c r="A1" t="s">
        <v>5</v>
      </c>
    </row>
    <row r="4" spans="1:10" x14ac:dyDescent="0.15">
      <c r="A4" t="s">
        <v>6</v>
      </c>
    </row>
    <row r="5" spans="1:10" x14ac:dyDescent="0.15">
      <c r="B5" t="s">
        <v>7</v>
      </c>
    </row>
    <row r="7" spans="1:10" x14ac:dyDescent="0.15">
      <c r="C7" s="1" t="s">
        <v>14</v>
      </c>
      <c r="D7" s="1" t="s">
        <v>12</v>
      </c>
      <c r="E7" s="1" t="s">
        <v>13</v>
      </c>
      <c r="G7" s="1"/>
      <c r="H7" s="1"/>
      <c r="J7" s="1" t="s">
        <v>15</v>
      </c>
    </row>
    <row r="8" spans="1:10" x14ac:dyDescent="0.15">
      <c r="B8" t="s">
        <v>8</v>
      </c>
      <c r="C8" s="16">
        <f>IF(雇用保険基本手当日額等算出!$D$6="29歳以下",1,0)</f>
        <v>0</v>
      </c>
      <c r="D8" s="34">
        <v>14130</v>
      </c>
      <c r="E8" s="34">
        <v>2869</v>
      </c>
      <c r="F8" s="16"/>
      <c r="G8" s="16">
        <f>IF(ROUNDDOWN(雇用保険基本手当日額等算出!$D$7/30,0)&gt;=D8,D8,0)</f>
        <v>0</v>
      </c>
      <c r="H8" s="16">
        <f>IF(ROUNDDOWN(雇用保険基本手当日額等算出!$D$7/30,0)&lt;=E8,E8,0)</f>
        <v>0</v>
      </c>
      <c r="I8" s="16">
        <f>IF(AND(ROUNDDOWN(雇用保険基本手当日額等算出!$D$7/30,0)&gt;E8,ROUNDDOWN(雇用保険基本手当日額等算出!$D$7/30,0)&lt;D8),ROUNDDOWN(雇用保険基本手当日額等算出!$D$7/30,0),0)</f>
        <v>10000</v>
      </c>
      <c r="J8" s="16">
        <f>IF(C8=1,G8+H8+I8,0)</f>
        <v>0</v>
      </c>
    </row>
    <row r="9" spans="1:10" x14ac:dyDescent="0.15">
      <c r="B9" t="s">
        <v>9</v>
      </c>
      <c r="C9" s="16">
        <f>IF(OR(雇用保険基本手当日額等算出!$D$6="30～34歳",雇用保険基本手当日額等算出!$D$6="35～44歳"),1,0)</f>
        <v>1</v>
      </c>
      <c r="D9" s="34">
        <v>15690</v>
      </c>
      <c r="E9" s="34">
        <v>2869</v>
      </c>
      <c r="F9" s="16"/>
      <c r="G9" s="16">
        <f>IF(ROUNDDOWN(雇用保険基本手当日額等算出!$D$7/30,0)&gt;=D9,D9,0)</f>
        <v>0</v>
      </c>
      <c r="H9" s="16">
        <f>IF(ROUNDDOWN(雇用保険基本手当日額等算出!$D$7/30,0)&lt;=E9,E9,0)</f>
        <v>0</v>
      </c>
      <c r="I9" s="16">
        <f>IF(AND(ROUNDDOWN(雇用保険基本手当日額等算出!$D$7/30,0)&gt;E9,ROUNDDOWN(雇用保険基本手当日額等算出!$D$7/30,0)&lt;D9),ROUNDDOWN(雇用保険基本手当日額等算出!$D$7/30,0),0)</f>
        <v>10000</v>
      </c>
      <c r="J9" s="16">
        <f>IF(C9=1,G9+H9+I9,0)</f>
        <v>10000</v>
      </c>
    </row>
    <row r="10" spans="1:10" x14ac:dyDescent="0.15">
      <c r="B10" t="s">
        <v>10</v>
      </c>
      <c r="C10" s="16">
        <f>IF(雇用保険基本手当日額等算出!$D$6="45～59歳",1,0)</f>
        <v>0</v>
      </c>
      <c r="D10" s="34">
        <v>17270</v>
      </c>
      <c r="E10" s="34">
        <v>2869</v>
      </c>
      <c r="F10" s="16"/>
      <c r="G10" s="16">
        <f>IF(ROUNDDOWN(雇用保険基本手当日額等算出!$D$7/30,0)&gt;=D10,D10,0)</f>
        <v>0</v>
      </c>
      <c r="H10" s="16">
        <f>IF(ROUNDDOWN(雇用保険基本手当日額等算出!$D$7/30,0)&lt;=E10,E10,0)</f>
        <v>0</v>
      </c>
      <c r="I10" s="16">
        <f>IF(AND(ROUNDDOWN(雇用保険基本手当日額等算出!$D$7/30,0)&gt;E10,ROUNDDOWN(雇用保険基本手当日額等算出!$D$7/30,0)&lt;D10),ROUNDDOWN(雇用保険基本手当日額等算出!$D$7/30,0),0)</f>
        <v>10000</v>
      </c>
      <c r="J10" s="16">
        <f>IF(C10=1,G10+H10+I10,0)</f>
        <v>0</v>
      </c>
    </row>
    <row r="11" spans="1:10" x14ac:dyDescent="0.15">
      <c r="B11" t="s">
        <v>11</v>
      </c>
      <c r="C11" s="16">
        <f>IF(雇用保険基本手当日額等算出!$D$6="60～64歳",1,0)</f>
        <v>0</v>
      </c>
      <c r="D11" s="34">
        <v>16490</v>
      </c>
      <c r="E11" s="34">
        <v>2869</v>
      </c>
      <c r="F11" s="16"/>
      <c r="G11" s="16">
        <f>IF(ROUNDDOWN(雇用保険基本手当日額等算出!$D$7/30,0)&gt;=D11,D11,0)</f>
        <v>0</v>
      </c>
      <c r="H11" s="16">
        <f>IF(ROUNDDOWN(雇用保険基本手当日額等算出!$D$7/30,0)&lt;=E11,E11,0)</f>
        <v>0</v>
      </c>
      <c r="I11" s="16">
        <f>IF(AND(ROUNDDOWN(雇用保険基本手当日額等算出!$D$7/30,0)&gt;E11,ROUNDDOWN(雇用保険基本手当日額等算出!$D$7/30,0)&lt;D11),ROUNDDOWN(雇用保険基本手当日額等算出!$D$7/30,0),0)</f>
        <v>10000</v>
      </c>
      <c r="J11" s="16">
        <f>IF(C11=1,G11+H11+I11,0)</f>
        <v>0</v>
      </c>
    </row>
    <row r="13" spans="1:10" x14ac:dyDescent="0.15">
      <c r="B13" s="5" t="s">
        <v>16</v>
      </c>
      <c r="C13" s="17">
        <f>SUM(J8:J11)</f>
        <v>10000</v>
      </c>
      <c r="D13" s="6" t="s">
        <v>4</v>
      </c>
    </row>
    <row r="14" spans="1:10" x14ac:dyDescent="0.15">
      <c r="D14"/>
    </row>
    <row r="15" spans="1:10" x14ac:dyDescent="0.15">
      <c r="D15"/>
    </row>
    <row r="16" spans="1:10" x14ac:dyDescent="0.15">
      <c r="A16" t="s">
        <v>17</v>
      </c>
    </row>
    <row r="18" spans="1:10" x14ac:dyDescent="0.15">
      <c r="B18" t="s">
        <v>16</v>
      </c>
      <c r="C18" s="1"/>
      <c r="D18" s="1" t="s">
        <v>19</v>
      </c>
      <c r="E18" s="1" t="s">
        <v>20</v>
      </c>
      <c r="F18" s="1"/>
      <c r="G18" s="50" t="s">
        <v>21</v>
      </c>
      <c r="H18" s="50"/>
      <c r="I18" s="50"/>
      <c r="J18" s="1" t="s">
        <v>22</v>
      </c>
    </row>
    <row r="19" spans="1:10" x14ac:dyDescent="0.15">
      <c r="B19" t="s">
        <v>23</v>
      </c>
      <c r="C19" s="1"/>
      <c r="D19" s="1" t="s">
        <v>9</v>
      </c>
      <c r="E19" s="1" t="s">
        <v>10</v>
      </c>
      <c r="F19" s="1"/>
      <c r="G19" s="50" t="s">
        <v>11</v>
      </c>
      <c r="H19" s="50"/>
      <c r="I19" s="50"/>
      <c r="J19" t="s">
        <v>18</v>
      </c>
    </row>
    <row r="20" spans="1:10" x14ac:dyDescent="0.15">
      <c r="C20" s="1" t="s">
        <v>14</v>
      </c>
      <c r="D20" s="18">
        <f>IF(OR(雇用保険基本手当日額等算出!$D$6="30～34歳",雇用保険基本手当日額等算出!$D$6="35～44歳"),1,0)</f>
        <v>1</v>
      </c>
      <c r="E20" s="18">
        <f>IF(雇用保険基本手当日額等算出!$D$6="45～59歳",1,0)</f>
        <v>0</v>
      </c>
      <c r="F20" s="18"/>
      <c r="G20" s="53">
        <f>IF(雇用保険基本手当日額等算出!$D$6="60～64歳",1,0)</f>
        <v>0</v>
      </c>
      <c r="H20" s="53">
        <f>IF(雇用保険基本手当日額等算出!$D$6="60～64歳",1,0)</f>
        <v>0</v>
      </c>
      <c r="I20" s="53">
        <f>IF(雇用保険基本手当日額等算出!$D$6="60～64歳",1,0)</f>
        <v>0</v>
      </c>
      <c r="J20" s="18">
        <f>IF(雇用保険基本手当日額等算出!$D$6="29歳以下",1,0)</f>
        <v>0</v>
      </c>
    </row>
    <row r="21" spans="1:10" x14ac:dyDescent="0.15">
      <c r="B21" t="s">
        <v>24</v>
      </c>
      <c r="C21" s="16"/>
      <c r="D21" s="36">
        <f>IF(AND(計算シート!$C$13&gt;=2869,計算シート!$C$13&lt;5200),ROUNDDOWN(0.8*計算シート!$C$13,0),0)</f>
        <v>0</v>
      </c>
      <c r="E21" s="37">
        <f>IF(AND(計算シート!$C$13&gt;=2869,計算シート!$C$13&lt;5200),ROUNDDOWN(0.8*計算シート!$C$13,0),0)</f>
        <v>0</v>
      </c>
      <c r="F21" s="19"/>
      <c r="G21" s="37">
        <f>IF(AND(計算シート!$C$13&gt;=2869,計算シート!$C$13&lt;5200),ROUNDDOWN(0.8*計算シート!$C$13,0),0)</f>
        <v>0</v>
      </c>
      <c r="H21" s="19"/>
      <c r="I21" s="19">
        <f>G21</f>
        <v>0</v>
      </c>
      <c r="J21" s="37">
        <f>IF(AND(計算シート!$C$13&gt;=2869,計算シート!$C$13&lt;5200),ROUNDDOWN(0.8*計算シート!$C$13,0),0)</f>
        <v>0</v>
      </c>
    </row>
    <row r="22" spans="1:10" x14ac:dyDescent="0.15">
      <c r="B22" t="s">
        <v>25</v>
      </c>
      <c r="C22" s="16"/>
      <c r="D22" s="36">
        <f>IF(AND(計算シート!$C$13&gt;=5200,計算シート!$C$13&lt;=12790),ROUNDDOWN(0.8*計算シート!$C$13-(0.3*($C$13-5200)/(12790-5200))*$C$13,0),0)</f>
        <v>6102</v>
      </c>
      <c r="E22" s="37">
        <f>IF(AND(計算シート!$C$13&gt;=5200,計算シート!$C$13&lt;=12790),ROUNDDOWN(0.8*計算シート!$C$13-(0.3*($C$13-5200)/(12790-5200))*$C$13,0),0)</f>
        <v>6102</v>
      </c>
      <c r="F22" s="19"/>
      <c r="G22" s="37">
        <f>IF(AND(計算シート!$C$13&gt;=5200,計算シート!$C$13&lt;=11490),ROUNDDOWN(0.8*計算シート!$C$13-(0.35*($C$13-5200)/(11490-5200))*$C$13,0),0)</f>
        <v>5329</v>
      </c>
      <c r="H22" s="37">
        <f>IF(AND(計算シート!$C$13&gt;=5200,計算シート!$C$13&lt;=11490),ROUNDDOWN(0.05*計算シート!$C$13+(11490*0.4),0),0)</f>
        <v>5096</v>
      </c>
      <c r="I22" s="19">
        <f>MIN(G22:H22)</f>
        <v>5096</v>
      </c>
      <c r="J22" s="37">
        <f>IF(AND(計算シート!$C$13&gt;=5200,計算シート!$C$13&lt;=12790),ROUNDDOWN(0.8*計算シート!$C$13-(0.3*($C$13-5200)/(12790-5200))*$C$13,0),0)</f>
        <v>6102</v>
      </c>
    </row>
    <row r="23" spans="1:10" x14ac:dyDescent="0.15">
      <c r="B23" t="s">
        <v>26</v>
      </c>
      <c r="C23" s="16"/>
      <c r="D23" s="36">
        <f>IF(AND(計算シート!$C$13&gt;12790,計算シート!$C$13&lt;=15690),ROUNDDOWN(0.5*計算シート!$C$13,0),0)</f>
        <v>0</v>
      </c>
      <c r="E23" s="37">
        <f>IF(AND(計算シート!$C$13&gt;12790,計算シート!$C$13&lt;=17270),ROUNDDOWN(0.5*計算シート!$C$13,0),0)</f>
        <v>0</v>
      </c>
      <c r="F23" s="19"/>
      <c r="G23" s="37">
        <f>IF(AND(計算シート!$C$13&gt;11490,計算シート!$C$13&lt;=16490),ROUNDDOWN(0.45*計算シート!$C$13,0),0)</f>
        <v>0</v>
      </c>
      <c r="H23" s="19"/>
      <c r="I23" s="19">
        <f>G23</f>
        <v>0</v>
      </c>
      <c r="J23" s="37">
        <f>IF(AND(計算シート!$C$13&gt;12790,計算シート!$C$13&lt;=14130),ROUNDDOWN(0.5*計算シート!$C$13,0),0)</f>
        <v>0</v>
      </c>
    </row>
    <row r="24" spans="1:10" x14ac:dyDescent="0.15">
      <c r="B24" t="s">
        <v>27</v>
      </c>
      <c r="C24" s="16"/>
      <c r="D24" s="36">
        <f>IF(計算シート!$C$13&gt;15690,7845,0)</f>
        <v>0</v>
      </c>
      <c r="E24" s="37">
        <f>IF(計算シート!$C$13&gt;17270,8635,0)</f>
        <v>0</v>
      </c>
      <c r="F24" s="19"/>
      <c r="G24" s="37">
        <f>IF(計算シート!$C$13&gt;16490,7420,0)</f>
        <v>0</v>
      </c>
      <c r="H24" s="19"/>
      <c r="I24" s="19">
        <f>G24</f>
        <v>0</v>
      </c>
      <c r="J24" s="37">
        <f>IF(計算シート!$C$13&gt;14130,7065,0)</f>
        <v>0</v>
      </c>
    </row>
    <row r="25" spans="1:10" x14ac:dyDescent="0.15">
      <c r="D25" s="18"/>
      <c r="E25" s="19"/>
      <c r="F25" s="19"/>
      <c r="G25" s="19"/>
      <c r="H25" s="19"/>
      <c r="I25" s="19"/>
      <c r="J25" s="19"/>
    </row>
    <row r="26" spans="1:10" x14ac:dyDescent="0.15">
      <c r="C26" t="s">
        <v>15</v>
      </c>
      <c r="D26" s="18">
        <f>IF(D20=1,D21+D22+D23+D24,0)</f>
        <v>6102</v>
      </c>
      <c r="E26" s="19">
        <f>IF(E20=1,E21+E22+E23+E24,0)</f>
        <v>0</v>
      </c>
      <c r="F26" s="19"/>
      <c r="G26" s="19"/>
      <c r="H26" s="19"/>
      <c r="I26" s="19">
        <f>IF(G20=1,I21+I22+I23+I24,0)</f>
        <v>0</v>
      </c>
      <c r="J26" s="19">
        <f>IF(J20=1,J21+J22+J23+J24,0)</f>
        <v>0</v>
      </c>
    </row>
    <row r="28" spans="1:10" x14ac:dyDescent="0.15">
      <c r="A28" t="s">
        <v>37</v>
      </c>
    </row>
    <row r="30" spans="1:10" x14ac:dyDescent="0.15">
      <c r="B30" t="s">
        <v>34</v>
      </c>
    </row>
    <row r="31" spans="1:10" x14ac:dyDescent="0.15">
      <c r="B31" t="s">
        <v>39</v>
      </c>
    </row>
    <row r="33" spans="2:7" x14ac:dyDescent="0.15">
      <c r="C33" s="50" t="s">
        <v>38</v>
      </c>
      <c r="D33" s="50"/>
      <c r="E33" s="50"/>
      <c r="F33" s="50"/>
      <c r="G33" s="50"/>
    </row>
    <row r="34" spans="2:7" ht="24" x14ac:dyDescent="0.15">
      <c r="C34" s="21" t="s">
        <v>40</v>
      </c>
      <c r="D34" s="20" t="s">
        <v>41</v>
      </c>
      <c r="E34" s="20" t="s">
        <v>42</v>
      </c>
      <c r="F34" s="20" t="s">
        <v>43</v>
      </c>
      <c r="G34" s="22" t="s">
        <v>44</v>
      </c>
    </row>
    <row r="35" spans="2:7" ht="21" customHeight="1" x14ac:dyDescent="0.15">
      <c r="B35" t="s">
        <v>45</v>
      </c>
      <c r="C35" s="1">
        <v>0</v>
      </c>
      <c r="D35" s="1">
        <v>90</v>
      </c>
      <c r="E35" s="1">
        <v>90</v>
      </c>
      <c r="F35" s="1">
        <v>120</v>
      </c>
      <c r="G35" s="1">
        <v>150</v>
      </c>
    </row>
    <row r="36" spans="2:7" ht="21" customHeight="1" x14ac:dyDescent="0.15">
      <c r="B36" t="s">
        <v>54</v>
      </c>
      <c r="C36" s="1">
        <f>IF(AND(雇用保険基本手当日額等算出!$D$9="自己都合による退職",雇用保険基本手当日額等算出!$D$8="１年未満"),計算シート!C35,0)</f>
        <v>0</v>
      </c>
      <c r="D36" s="1">
        <f>IF(AND(雇用保険基本手当日額等算出!$D$9="自己都合による退職",雇用保険基本手当日額等算出!$D$8="１年以上５年未満"),計算シート!D35,0)</f>
        <v>0</v>
      </c>
      <c r="E36" s="1">
        <f>IF(AND(雇用保険基本手当日額等算出!$D$9="自己都合による退職",雇用保険基本手当日額等算出!$D$8="５年以上１０年未満"),計算シート!E35,0)</f>
        <v>90</v>
      </c>
      <c r="F36" s="1">
        <f>IF(AND(雇用保険基本手当日額等算出!$D$9="自己都合による退職",雇用保険基本手当日額等算出!$D$8="１０年以上２０年未満"),計算シート!F35,0)</f>
        <v>0</v>
      </c>
      <c r="G36" s="1">
        <f>IF(AND(雇用保険基本手当日額等算出!$D$9="自己都合による退職",雇用保険基本手当日額等算出!$D$8="２０年以上"),計算シート!G35,0)</f>
        <v>0</v>
      </c>
    </row>
    <row r="37" spans="2:7" ht="21" customHeight="1" x14ac:dyDescent="0.15">
      <c r="C37" s="1"/>
      <c r="E37" s="1"/>
      <c r="F37" s="1"/>
      <c r="G37" s="1"/>
    </row>
    <row r="38" spans="2:7" ht="21" customHeight="1" x14ac:dyDescent="0.15">
      <c r="B38" s="5" t="s">
        <v>57</v>
      </c>
      <c r="C38" s="26">
        <f>SUM(C36:G36)</f>
        <v>90</v>
      </c>
      <c r="D38" s="25" t="s">
        <v>58</v>
      </c>
      <c r="E38" s="1"/>
      <c r="F38" s="1"/>
      <c r="G38" s="1"/>
    </row>
    <row r="39" spans="2:7" ht="21" customHeight="1" x14ac:dyDescent="0.15">
      <c r="C39" s="1"/>
      <c r="E39" s="1"/>
      <c r="F39" s="1"/>
      <c r="G39" s="1"/>
    </row>
    <row r="42" spans="2:7" x14ac:dyDescent="0.15">
      <c r="B42" t="s">
        <v>35</v>
      </c>
    </row>
    <row r="44" spans="2:7" x14ac:dyDescent="0.15">
      <c r="C44" s="50" t="s">
        <v>38</v>
      </c>
      <c r="D44" s="50"/>
      <c r="E44" s="50"/>
      <c r="F44" s="50"/>
      <c r="G44" s="50"/>
    </row>
    <row r="45" spans="2:7" ht="24" x14ac:dyDescent="0.15">
      <c r="C45" s="21" t="s">
        <v>40</v>
      </c>
      <c r="D45" s="20" t="s">
        <v>41</v>
      </c>
      <c r="E45" s="20" t="s">
        <v>42</v>
      </c>
      <c r="F45" s="20" t="s">
        <v>43</v>
      </c>
      <c r="G45" s="22" t="s">
        <v>44</v>
      </c>
    </row>
    <row r="46" spans="2:7" x14ac:dyDescent="0.15">
      <c r="B46" t="s">
        <v>46</v>
      </c>
      <c r="C46" s="50">
        <v>90</v>
      </c>
      <c r="D46" s="1">
        <v>90</v>
      </c>
      <c r="E46" s="1">
        <v>120</v>
      </c>
      <c r="F46" s="1">
        <v>180</v>
      </c>
      <c r="G46" s="1">
        <v>0</v>
      </c>
    </row>
    <row r="47" spans="2:7" x14ac:dyDescent="0.15">
      <c r="B47" t="s">
        <v>47</v>
      </c>
      <c r="C47" s="50"/>
      <c r="D47" s="1">
        <v>120</v>
      </c>
      <c r="E47" s="1">
        <v>180</v>
      </c>
      <c r="F47" s="1">
        <v>210</v>
      </c>
      <c r="G47" s="1">
        <v>240</v>
      </c>
    </row>
    <row r="48" spans="2:7" x14ac:dyDescent="0.15">
      <c r="B48" t="s">
        <v>48</v>
      </c>
      <c r="C48" s="50"/>
      <c r="D48" s="1">
        <v>150</v>
      </c>
      <c r="E48" s="1">
        <v>180</v>
      </c>
      <c r="F48" s="1">
        <v>240</v>
      </c>
      <c r="G48" s="1">
        <v>270</v>
      </c>
    </row>
    <row r="49" spans="2:8" x14ac:dyDescent="0.15">
      <c r="B49" t="s">
        <v>49</v>
      </c>
      <c r="C49" s="50"/>
      <c r="D49" s="1">
        <v>180</v>
      </c>
      <c r="E49" s="1">
        <v>240</v>
      </c>
      <c r="F49" s="1">
        <v>270</v>
      </c>
      <c r="G49" s="1">
        <v>330</v>
      </c>
    </row>
    <row r="50" spans="2:8" x14ac:dyDescent="0.15">
      <c r="B50" t="s">
        <v>50</v>
      </c>
      <c r="C50" s="50"/>
      <c r="D50" s="1">
        <v>150</v>
      </c>
      <c r="E50" s="1">
        <v>180</v>
      </c>
      <c r="F50" s="1">
        <v>210</v>
      </c>
      <c r="G50" s="1">
        <v>240</v>
      </c>
    </row>
    <row r="51" spans="2:8" x14ac:dyDescent="0.15">
      <c r="C51" s="1"/>
      <c r="E51" s="1"/>
      <c r="F51" s="1"/>
      <c r="G51" s="1"/>
    </row>
    <row r="52" spans="2:8" x14ac:dyDescent="0.15">
      <c r="B52" t="s">
        <v>55</v>
      </c>
      <c r="C52" s="1">
        <f>IF(AND(雇用保険基本手当日額等算出!$D$9="会社都合等による退職",雇用保険基本手当日額等算出!$D$8="１年未満"),計算シート!C46,0)</f>
        <v>0</v>
      </c>
      <c r="D52" s="1">
        <f>IF(AND(雇用保険基本手当日額等算出!$D$9="会社都合等による退職",雇用保険基本手当日額等算出!$D$8="１年以上５年未満"),1,0)</f>
        <v>0</v>
      </c>
      <c r="E52" s="1">
        <f>IF(AND(雇用保険基本手当日額等算出!$D$9="会社都合等による退職",雇用保険基本手当日額等算出!$D$8="５年以上１０年未満"),1,0)</f>
        <v>0</v>
      </c>
      <c r="F52" s="1">
        <f>IF(AND(雇用保険基本手当日額等算出!$D$9="会社都合等による退職",雇用保険基本手当日額等算出!$D$8="１０年以上２０年未満"),1,0)</f>
        <v>0</v>
      </c>
      <c r="G52" s="1">
        <f>IF(AND(雇用保険基本手当日額等算出!$D$9="会社都合等による退職",雇用保険基本手当日額等算出!$D$8="２０年以上"),1,0)</f>
        <v>0</v>
      </c>
    </row>
    <row r="53" spans="2:8" x14ac:dyDescent="0.15">
      <c r="B53" t="s">
        <v>46</v>
      </c>
      <c r="C53" s="1"/>
      <c r="D53" s="1">
        <f>IF(AND($D$52=1,雇用保険基本手当日額等算出!$D$6="29歳以下"),D46,0)</f>
        <v>0</v>
      </c>
      <c r="E53" s="1">
        <f>IF(AND($E$52=1,雇用保険基本手当日額等算出!$D$6="29歳以下"),E46,0)</f>
        <v>0</v>
      </c>
      <c r="F53" s="1">
        <f>IF(AND($F$52=1,雇用保険基本手当日額等算出!$D$6="29歳以下"),F46,0)</f>
        <v>0</v>
      </c>
      <c r="G53" s="1">
        <f>IF(AND($G$52=1,雇用保険基本手当日額等算出!$D$6="29歳以下"),G46,0)</f>
        <v>0</v>
      </c>
    </row>
    <row r="54" spans="2:8" x14ac:dyDescent="0.15">
      <c r="B54" t="s">
        <v>47</v>
      </c>
      <c r="C54" s="1"/>
      <c r="D54" s="1">
        <f>IF(AND($D$52=1,雇用保険基本手当日額等算出!$D$6="30～34歳"),D47,0)</f>
        <v>0</v>
      </c>
      <c r="E54" s="1">
        <f>IF(AND($E$52=1,雇用保険基本手当日額等算出!$D$6="30～34歳"),E47,0)</f>
        <v>0</v>
      </c>
      <c r="F54" s="1">
        <f>IF(AND($F$52=1,雇用保険基本手当日額等算出!$D$6="30～34歳"),F47,0)</f>
        <v>0</v>
      </c>
      <c r="G54" s="1">
        <f>IF(AND($G$52=1,雇用保険基本手当日額等算出!$D$6="30～34歳"),G47,0)</f>
        <v>0</v>
      </c>
    </row>
    <row r="55" spans="2:8" x14ac:dyDescent="0.15">
      <c r="B55" t="s">
        <v>48</v>
      </c>
      <c r="C55" s="1"/>
      <c r="D55" s="1">
        <f>IF(AND($D$52=1,雇用保険基本手当日額等算出!$D$6="35～44歳"),D48,0)</f>
        <v>0</v>
      </c>
      <c r="E55" s="1">
        <f>IF(AND($E$52=1,雇用保険基本手当日額等算出!$D$6="35～44歳"),E48,0)</f>
        <v>0</v>
      </c>
      <c r="F55" s="1">
        <f>IF(AND($F$52=1,雇用保険基本手当日額等算出!$D$6="35～44歳"),F48,0)</f>
        <v>0</v>
      </c>
      <c r="G55" s="1">
        <f>IF(AND($G$52=1,雇用保険基本手当日額等算出!$D$6="35～44歳"),G48,0)</f>
        <v>0</v>
      </c>
    </row>
    <row r="56" spans="2:8" x14ac:dyDescent="0.15">
      <c r="B56" t="s">
        <v>49</v>
      </c>
      <c r="C56" s="1"/>
      <c r="D56" s="1">
        <f>IF(AND($D$52=1,雇用保険基本手当日額等算出!$D$6="45～59歳"),D49,0)</f>
        <v>0</v>
      </c>
      <c r="E56" s="1">
        <f>IF(AND($E$52=1,雇用保険基本手当日額等算出!$D$6="45～59歳"),E49,0)</f>
        <v>0</v>
      </c>
      <c r="F56" s="1">
        <f>IF(AND($F$52=1,雇用保険基本手当日額等算出!$D$6="45～59歳"),F49,0)</f>
        <v>0</v>
      </c>
      <c r="G56" s="1">
        <f>IF(AND($G$52=1,雇用保険基本手当日額等算出!$D$6="45～59歳"),G49,0)</f>
        <v>0</v>
      </c>
    </row>
    <row r="57" spans="2:8" x14ac:dyDescent="0.15">
      <c r="B57" t="s">
        <v>50</v>
      </c>
      <c r="D57" s="1">
        <f>IF(AND($D$52=1,雇用保険基本手当日額等算出!$D$6="60～64歳"),D50,0)</f>
        <v>0</v>
      </c>
      <c r="E57" s="1">
        <f>IF(AND($E$52=1,雇用保険基本手当日額等算出!$D$6="60～64歳"),E50,0)</f>
        <v>0</v>
      </c>
      <c r="F57" s="1">
        <f>IF(AND($F$52=1,雇用保険基本手当日額等算出!$D$6="60～64歳"),F50,0)</f>
        <v>0</v>
      </c>
      <c r="G57" s="1">
        <f>IF(AND($G$52=1,雇用保険基本手当日額等算出!$D$6="60～64歳"),G50,0)</f>
        <v>0</v>
      </c>
    </row>
    <row r="58" spans="2:8" x14ac:dyDescent="0.15">
      <c r="B58" t="s">
        <v>56</v>
      </c>
      <c r="C58" s="1">
        <f>SUM(C52:C57)</f>
        <v>0</v>
      </c>
      <c r="D58" s="1">
        <f>SUM(D53:D57)</f>
        <v>0</v>
      </c>
      <c r="E58" s="1">
        <f t="shared" ref="E58:G58" si="0">SUM(E53:E57)</f>
        <v>0</v>
      </c>
      <c r="F58" s="1">
        <f t="shared" si="0"/>
        <v>0</v>
      </c>
      <c r="G58" s="1">
        <f t="shared" si="0"/>
        <v>0</v>
      </c>
      <c r="H58" s="1"/>
    </row>
    <row r="60" spans="2:8" x14ac:dyDescent="0.15">
      <c r="B60" s="5" t="s">
        <v>57</v>
      </c>
      <c r="C60" s="24">
        <f>SUM(C58:G58)</f>
        <v>0</v>
      </c>
      <c r="D60" s="25" t="s">
        <v>58</v>
      </c>
    </row>
    <row r="63" spans="2:8" x14ac:dyDescent="0.15">
      <c r="B63" t="s">
        <v>36</v>
      </c>
    </row>
    <row r="65" spans="1:7" x14ac:dyDescent="0.15">
      <c r="C65" s="50" t="s">
        <v>38</v>
      </c>
      <c r="D65" s="50"/>
      <c r="E65" s="50"/>
      <c r="F65" s="50"/>
      <c r="G65" s="50"/>
    </row>
    <row r="66" spans="1:7" ht="24" x14ac:dyDescent="0.15">
      <c r="C66" s="21" t="s">
        <v>40</v>
      </c>
      <c r="D66" s="20" t="s">
        <v>41</v>
      </c>
      <c r="E66" s="20" t="s">
        <v>42</v>
      </c>
      <c r="F66" s="20" t="s">
        <v>43</v>
      </c>
      <c r="G66" s="22" t="s">
        <v>44</v>
      </c>
    </row>
    <row r="67" spans="1:7" x14ac:dyDescent="0.15">
      <c r="B67" t="s">
        <v>51</v>
      </c>
      <c r="C67">
        <v>150</v>
      </c>
      <c r="D67" s="50">
        <v>300</v>
      </c>
      <c r="E67" s="50"/>
      <c r="F67" s="50"/>
      <c r="G67" s="50"/>
    </row>
    <row r="68" spans="1:7" x14ac:dyDescent="0.15">
      <c r="B68" t="s">
        <v>52</v>
      </c>
      <c r="C68">
        <v>150</v>
      </c>
      <c r="D68" s="50">
        <v>360</v>
      </c>
      <c r="E68" s="50"/>
      <c r="F68" s="50"/>
      <c r="G68" s="50"/>
    </row>
    <row r="71" spans="1:7" x14ac:dyDescent="0.15">
      <c r="A71" t="s">
        <v>65</v>
      </c>
    </row>
    <row r="95" spans="2:2" x14ac:dyDescent="0.15">
      <c r="B95" t="s">
        <v>68</v>
      </c>
    </row>
    <row r="97" spans="2:9" x14ac:dyDescent="0.15">
      <c r="B97" t="s">
        <v>59</v>
      </c>
      <c r="C97">
        <f>雇用保険基本手当日額等算出!D23</f>
        <v>80</v>
      </c>
      <c r="D97" s="1" t="s">
        <v>58</v>
      </c>
    </row>
    <row r="98" spans="2:9" x14ac:dyDescent="0.15">
      <c r="B98" t="s">
        <v>69</v>
      </c>
    </row>
    <row r="99" spans="2:9" x14ac:dyDescent="0.15">
      <c r="C99" t="s">
        <v>55</v>
      </c>
      <c r="E99" s="50" t="s">
        <v>80</v>
      </c>
      <c r="F99" s="50"/>
      <c r="G99" s="50"/>
      <c r="H99" s="50"/>
    </row>
    <row r="100" spans="2:9" x14ac:dyDescent="0.15">
      <c r="E100" s="27">
        <v>0.6</v>
      </c>
      <c r="F100" s="27">
        <v>0.7</v>
      </c>
      <c r="G100" s="1"/>
      <c r="I100" s="1" t="s">
        <v>81</v>
      </c>
    </row>
    <row r="101" spans="2:9" x14ac:dyDescent="0.15">
      <c r="B101" t="s">
        <v>70</v>
      </c>
      <c r="C101">
        <f>IF(雇用保険基本手当日額等算出!$D$18=90,1,0)</f>
        <v>1</v>
      </c>
      <c r="D101" s="1">
        <f>IF(AND($C101=1,$C$97&gt;=30),1,0)</f>
        <v>1</v>
      </c>
      <c r="E101">
        <f>IF(AND($C$97&gt;=30,$C$97&lt;=59),1,0)</f>
        <v>0</v>
      </c>
      <c r="F101">
        <f>IF(AND($C$97&gt;=60,$C$97&lt;=90),1,0)</f>
        <v>1</v>
      </c>
      <c r="G101" s="28">
        <f>IF(AND($D$101=1,$E$101=1),0.6,0)</f>
        <v>0</v>
      </c>
      <c r="H101" s="28">
        <f>IF(AND($D101=1,$F101=1),0.7,0)</f>
        <v>0.7</v>
      </c>
      <c r="I101" s="28">
        <f>SUM(G101:H101)</f>
        <v>0.7</v>
      </c>
    </row>
    <row r="102" spans="2:9" x14ac:dyDescent="0.15">
      <c r="B102" t="s">
        <v>71</v>
      </c>
      <c r="C102">
        <f>IF(雇用保険基本手当日額等算出!$D$18=120,1,0)</f>
        <v>0</v>
      </c>
      <c r="D102" s="1">
        <f>IF(AND($C102=1,$C$97&gt;=40),1,0)</f>
        <v>0</v>
      </c>
      <c r="E102">
        <f>IF(AND($C$97&gt;=40,$C$97&lt;=79),1,0)</f>
        <v>0</v>
      </c>
      <c r="F102">
        <f>IF(AND($C$97&gt;=80,$C$97&lt;=120),1,0)</f>
        <v>1</v>
      </c>
      <c r="G102" s="28">
        <f>IF(AND($D102=1,$E102=1),0.6,0)</f>
        <v>0</v>
      </c>
      <c r="H102" s="28">
        <f t="shared" ref="H102:H110" si="1">IF(AND($D102=1,$F102=1),0.7,0)</f>
        <v>0</v>
      </c>
      <c r="I102" s="28">
        <f>SUM(G102:H102)</f>
        <v>0</v>
      </c>
    </row>
    <row r="103" spans="2:9" x14ac:dyDescent="0.15">
      <c r="B103" t="s">
        <v>72</v>
      </c>
      <c r="C103">
        <f>IF(雇用保険基本手当日額等算出!$D$18=150,1,0)</f>
        <v>0</v>
      </c>
      <c r="D103" s="1">
        <f>IF(AND($C103=1,$C$97&gt;=50),1,0)</f>
        <v>0</v>
      </c>
      <c r="E103">
        <f>IF(AND($C$97&gt;=50,$C$97&lt;=99),1,0)</f>
        <v>1</v>
      </c>
      <c r="F103">
        <f>IF(AND($C$97&gt;=100,$C$97&lt;=150),1,0)</f>
        <v>0</v>
      </c>
      <c r="G103" s="28">
        <f t="shared" ref="G103:G110" si="2">IF(AND($D103=1,$E103=1),0.6,0)</f>
        <v>0</v>
      </c>
      <c r="H103" s="28">
        <f t="shared" si="1"/>
        <v>0</v>
      </c>
      <c r="I103" s="28">
        <f t="shared" ref="I103:I110" si="3">SUM(G103:H103)</f>
        <v>0</v>
      </c>
    </row>
    <row r="104" spans="2:9" x14ac:dyDescent="0.15">
      <c r="B104" t="s">
        <v>73</v>
      </c>
      <c r="C104">
        <f>IF(雇用保険基本手当日額等算出!$D$18=180,1,0)</f>
        <v>0</v>
      </c>
      <c r="D104" s="1">
        <f>IF(AND($C104=1,$C$97&gt;=60),1,0)</f>
        <v>0</v>
      </c>
      <c r="E104">
        <f>IF(AND($C$97&gt;=60,$C$97&lt;=119),1,0)</f>
        <v>1</v>
      </c>
      <c r="F104">
        <f>IF(AND($C$97&gt;=120,$C$97&lt;=180),1,0)</f>
        <v>0</v>
      </c>
      <c r="G104" s="28">
        <f t="shared" si="2"/>
        <v>0</v>
      </c>
      <c r="H104" s="28">
        <f t="shared" si="1"/>
        <v>0</v>
      </c>
      <c r="I104" s="28">
        <f t="shared" si="3"/>
        <v>0</v>
      </c>
    </row>
    <row r="105" spans="2:9" x14ac:dyDescent="0.15">
      <c r="B105" t="s">
        <v>74</v>
      </c>
      <c r="C105">
        <f>IF(雇用保険基本手当日額等算出!$D$18=210,1,0)</f>
        <v>0</v>
      </c>
      <c r="D105" s="1">
        <f>IF(AND($C105=1,$C$97&gt;=70),1,0)</f>
        <v>0</v>
      </c>
      <c r="E105">
        <f>IF(AND($C$97&gt;=70,$C$97&lt;=139),1,0)</f>
        <v>1</v>
      </c>
      <c r="F105">
        <f>IF(AND($C$97&gt;=140,$C$97&lt;=210),1,0)</f>
        <v>0</v>
      </c>
      <c r="G105" s="28">
        <f t="shared" si="2"/>
        <v>0</v>
      </c>
      <c r="H105" s="28">
        <f t="shared" si="1"/>
        <v>0</v>
      </c>
      <c r="I105" s="28">
        <f t="shared" si="3"/>
        <v>0</v>
      </c>
    </row>
    <row r="106" spans="2:9" x14ac:dyDescent="0.15">
      <c r="B106" t="s">
        <v>75</v>
      </c>
      <c r="C106">
        <f>IF(雇用保険基本手当日額等算出!$D$18=240,1,0)</f>
        <v>0</v>
      </c>
      <c r="D106" s="1">
        <f>IF(AND($C106=1,$C$97&gt;=80),1,0)</f>
        <v>0</v>
      </c>
      <c r="E106">
        <f>IF(AND($C$97&gt;=80,$C$97&lt;=159),1,0)</f>
        <v>1</v>
      </c>
      <c r="F106">
        <f>IF(AND($C$97&gt;=160,$C$97&lt;=240),1,0)</f>
        <v>0</v>
      </c>
      <c r="G106" s="28">
        <f t="shared" si="2"/>
        <v>0</v>
      </c>
      <c r="H106" s="28">
        <f t="shared" si="1"/>
        <v>0</v>
      </c>
      <c r="I106" s="28">
        <f t="shared" si="3"/>
        <v>0</v>
      </c>
    </row>
    <row r="107" spans="2:9" x14ac:dyDescent="0.15">
      <c r="B107" t="s">
        <v>76</v>
      </c>
      <c r="C107">
        <f>IF(雇用保険基本手当日額等算出!$D$18=270,1,0)</f>
        <v>0</v>
      </c>
      <c r="D107" s="1">
        <f>IF(AND($C107=1,$C$97&gt;=90),1,0)</f>
        <v>0</v>
      </c>
      <c r="E107">
        <f>IF(AND($C$97&gt;=90,$C$97&lt;=179),1,0)</f>
        <v>0</v>
      </c>
      <c r="F107">
        <f>IF(AND($C$97&gt;=180,$C$97&lt;=270),1,0)</f>
        <v>0</v>
      </c>
      <c r="G107" s="28">
        <f t="shared" si="2"/>
        <v>0</v>
      </c>
      <c r="H107" s="28">
        <f t="shared" si="1"/>
        <v>0</v>
      </c>
      <c r="I107" s="28">
        <f t="shared" si="3"/>
        <v>0</v>
      </c>
    </row>
    <row r="108" spans="2:9" x14ac:dyDescent="0.15">
      <c r="B108" t="s">
        <v>77</v>
      </c>
      <c r="C108">
        <f>IF(雇用保険基本手当日額等算出!$D$18=300,1,0)</f>
        <v>0</v>
      </c>
      <c r="D108" s="1">
        <f>IF(AND($C108=1,$C$97&gt;=100),1,0)</f>
        <v>0</v>
      </c>
      <c r="E108">
        <f>IF(AND($C$97&gt;=100,$C$97&lt;=199),1,0)</f>
        <v>0</v>
      </c>
      <c r="F108">
        <f>IF(AND($C$97&gt;=200,$C$97&lt;=300),1,0)</f>
        <v>0</v>
      </c>
      <c r="G108" s="28">
        <f t="shared" si="2"/>
        <v>0</v>
      </c>
      <c r="H108" s="28">
        <f t="shared" si="1"/>
        <v>0</v>
      </c>
      <c r="I108" s="28">
        <f t="shared" si="3"/>
        <v>0</v>
      </c>
    </row>
    <row r="109" spans="2:9" x14ac:dyDescent="0.15">
      <c r="B109" t="s">
        <v>78</v>
      </c>
      <c r="C109">
        <f>IF(雇用保険基本手当日額等算出!$D$18=330,1,0)</f>
        <v>0</v>
      </c>
      <c r="D109" s="1">
        <f>IF(AND($C109=1,$C$97&gt;=110),1,0)</f>
        <v>0</v>
      </c>
      <c r="E109">
        <f>IF(AND($C$97&gt;=110,$C$97&lt;=219),1,0)</f>
        <v>0</v>
      </c>
      <c r="F109">
        <f>IF(AND($C$97&gt;=220,$C$97&lt;=330),1,0)</f>
        <v>0</v>
      </c>
      <c r="G109" s="28">
        <f t="shared" si="2"/>
        <v>0</v>
      </c>
      <c r="H109" s="28">
        <f t="shared" si="1"/>
        <v>0</v>
      </c>
      <c r="I109" s="28">
        <f t="shared" si="3"/>
        <v>0</v>
      </c>
    </row>
    <row r="110" spans="2:9" x14ac:dyDescent="0.15">
      <c r="B110" t="s">
        <v>79</v>
      </c>
      <c r="C110">
        <f>IF(雇用保険基本手当日額等算出!$D$18=360,1,0)</f>
        <v>0</v>
      </c>
      <c r="D110" s="1">
        <f>IF(AND($C110=1,$C$97&gt;=120),1,0)</f>
        <v>0</v>
      </c>
      <c r="E110">
        <f>IF(AND($C$97&gt;=120,$C$97&lt;=239),1,0)</f>
        <v>0</v>
      </c>
      <c r="F110">
        <f>IF(AND($C$97&gt;=240,$C$97&lt;=360),1,0)</f>
        <v>0</v>
      </c>
      <c r="G110" s="28">
        <f t="shared" si="2"/>
        <v>0</v>
      </c>
      <c r="H110" s="28">
        <f t="shared" si="1"/>
        <v>0</v>
      </c>
      <c r="I110" s="28">
        <f t="shared" si="3"/>
        <v>0</v>
      </c>
    </row>
    <row r="112" spans="2:9" x14ac:dyDescent="0.15">
      <c r="H112" s="5" t="s">
        <v>82</v>
      </c>
      <c r="I112" s="29">
        <f>SUM(I101:I111)</f>
        <v>0.7</v>
      </c>
    </row>
    <row r="114" spans="1:9" x14ac:dyDescent="0.15">
      <c r="B114" t="s">
        <v>83</v>
      </c>
    </row>
    <row r="115" spans="1:9" x14ac:dyDescent="0.15">
      <c r="F115" t="s">
        <v>86</v>
      </c>
    </row>
    <row r="116" spans="1:9" x14ac:dyDescent="0.15">
      <c r="B116" t="s">
        <v>84</v>
      </c>
      <c r="F116" s="35">
        <v>6395</v>
      </c>
      <c r="G116" t="s">
        <v>87</v>
      </c>
      <c r="H116" s="50" t="s">
        <v>116</v>
      </c>
      <c r="I116" s="50"/>
    </row>
    <row r="117" spans="1:9" x14ac:dyDescent="0.15">
      <c r="B117" t="s">
        <v>85</v>
      </c>
      <c r="F117" s="35">
        <v>5170</v>
      </c>
      <c r="G117" t="s">
        <v>87</v>
      </c>
      <c r="H117" s="50"/>
      <c r="I117" s="50"/>
    </row>
    <row r="119" spans="1:9" ht="27" x14ac:dyDescent="0.15">
      <c r="C119" s="1" t="s">
        <v>90</v>
      </c>
      <c r="D119" s="30" t="s">
        <v>91</v>
      </c>
    </row>
    <row r="120" spans="1:9" x14ac:dyDescent="0.15">
      <c r="B120" t="s">
        <v>89</v>
      </c>
      <c r="C120">
        <f>IF(雇用保険基本手当日額等算出!$D$6="60～64歳",0,1)</f>
        <v>1</v>
      </c>
      <c r="D120" s="38">
        <f>IF(雇用保険基本手当日額等算出!$D$14&gt;=6395,6395,雇用保険基本手当日額等算出!$D$14)</f>
        <v>6102</v>
      </c>
      <c r="E120">
        <f>IF(C120=1,D120,0)</f>
        <v>6102</v>
      </c>
    </row>
    <row r="121" spans="1:9" x14ac:dyDescent="0.15">
      <c r="B121" t="s">
        <v>88</v>
      </c>
      <c r="C121">
        <f>IF(雇用保険基本手当日額等算出!$D$6="60～64歳",1,0)</f>
        <v>0</v>
      </c>
      <c r="D121" s="38">
        <f>IF(雇用保険基本手当日額等算出!$D$14&gt;=5170,5170,雇用保険基本手当日額等算出!$D$14)</f>
        <v>5170</v>
      </c>
      <c r="E121">
        <f>IF(C121=1,D121,0)</f>
        <v>0</v>
      </c>
    </row>
    <row r="123" spans="1:9" x14ac:dyDescent="0.15">
      <c r="B123" s="51" t="s">
        <v>92</v>
      </c>
      <c r="C123" s="52"/>
      <c r="D123" s="52"/>
      <c r="E123" s="24">
        <f>SUM(E120:E121)</f>
        <v>6102</v>
      </c>
      <c r="F123" s="6" t="s">
        <v>87</v>
      </c>
    </row>
    <row r="126" spans="1:9" x14ac:dyDescent="0.15">
      <c r="A126" t="s">
        <v>110</v>
      </c>
    </row>
    <row r="128" spans="1:9" x14ac:dyDescent="0.15">
      <c r="B128" t="s">
        <v>108</v>
      </c>
      <c r="G128" s="19">
        <f>ROUNDDOWN(雇用保険基本手当日額等算出!D30/30,0)</f>
        <v>9333</v>
      </c>
      <c r="H128" t="s">
        <v>109</v>
      </c>
    </row>
    <row r="129" spans="2:8" x14ac:dyDescent="0.15">
      <c r="B129" t="s">
        <v>107</v>
      </c>
      <c r="G129" s="9">
        <f>EDATE(雇用保険基本手当日額等算出!D31, 6)</f>
        <v>45931</v>
      </c>
      <c r="H129" t="s">
        <v>106</v>
      </c>
    </row>
    <row r="130" spans="2:8" x14ac:dyDescent="0.15">
      <c r="B130" t="s">
        <v>105</v>
      </c>
      <c r="G130" s="19">
        <f>DATEDIF(雇用保険基本手当日額等算出!D31,計算シート!G129,"d")</f>
        <v>183</v>
      </c>
      <c r="H130" t="s">
        <v>106</v>
      </c>
    </row>
    <row r="131" spans="2:8" x14ac:dyDescent="0.15">
      <c r="B131" t="s">
        <v>113</v>
      </c>
      <c r="G131" s="19">
        <f>MAX(雇用保険基本手当日額等算出!D13-計算シート!G128,0)</f>
        <v>667</v>
      </c>
      <c r="H131" t="s">
        <v>109</v>
      </c>
    </row>
    <row r="132" spans="2:8" x14ac:dyDescent="0.15">
      <c r="B132" t="s">
        <v>111</v>
      </c>
      <c r="G132" s="19">
        <f>G131*計算シート!G130</f>
        <v>122061</v>
      </c>
      <c r="H132" t="s">
        <v>109</v>
      </c>
    </row>
  </sheetData>
  <mergeCells count="12">
    <mergeCell ref="H116:I117"/>
    <mergeCell ref="B123:D123"/>
    <mergeCell ref="G18:I18"/>
    <mergeCell ref="G19:I19"/>
    <mergeCell ref="G20:I20"/>
    <mergeCell ref="C33:G33"/>
    <mergeCell ref="C44:G44"/>
    <mergeCell ref="E99:H99"/>
    <mergeCell ref="C46:C50"/>
    <mergeCell ref="C65:G65"/>
    <mergeCell ref="D67:G67"/>
    <mergeCell ref="D68:G68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雇用保険基本手当日額等算出</vt:lpstr>
      <vt:lpstr>計算シート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まいぼた</dc:creator>
  <cp:lastPrinted>2023-08-08T06:00:02Z</cp:lastPrinted>
  <dcterms:created xsi:type="dcterms:W3CDTF">2016-11-16T07:33:36Z</dcterms:created>
  <dcterms:modified xsi:type="dcterms:W3CDTF">2025-03-21T00:50:11Z</dcterms:modified>
</cp:coreProperties>
</file>