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840"/>
  </bookViews>
  <sheets>
    <sheet name="配偶者控除算出表" sheetId="1" r:id="rId1"/>
    <sheet name="計算シー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2" l="1"/>
  <c r="E6" i="2" l="1"/>
  <c r="E5" i="2"/>
  <c r="C32" i="2" l="1"/>
  <c r="E34" i="2"/>
  <c r="C25" i="2" l="1"/>
  <c r="E26" i="2"/>
  <c r="C34" i="2"/>
  <c r="E28" i="2"/>
  <c r="E33" i="2"/>
  <c r="E29" i="2"/>
  <c r="E35" i="2"/>
  <c r="E25" i="2"/>
  <c r="E31" i="2"/>
  <c r="E27" i="2"/>
  <c r="E32" i="2"/>
  <c r="C26" i="2"/>
  <c r="E30" i="2"/>
  <c r="C29" i="2"/>
  <c r="C35" i="2"/>
  <c r="C30" i="2"/>
  <c r="C31" i="2"/>
  <c r="C27" i="2"/>
  <c r="C33" i="2"/>
  <c r="C28" i="2"/>
  <c r="E36" i="2" l="1"/>
  <c r="E38" i="2" s="1"/>
  <c r="C36" i="2"/>
  <c r="C38" i="2" s="1"/>
  <c r="E39" i="2" l="1"/>
  <c r="F14" i="1"/>
  <c r="F13" i="1"/>
  <c r="C39" i="2"/>
  <c r="F12" i="1"/>
  <c r="G13" i="1" l="1"/>
  <c r="G53" i="2"/>
  <c r="J53" i="2"/>
  <c r="M52" i="2"/>
  <c r="I52" i="2"/>
  <c r="L51" i="2"/>
  <c r="H51" i="2"/>
  <c r="F51" i="2"/>
  <c r="M53" i="2"/>
  <c r="I53" i="2"/>
  <c r="L52" i="2"/>
  <c r="H52" i="2"/>
  <c r="K51" i="2"/>
  <c r="G51" i="2"/>
  <c r="L53" i="2"/>
  <c r="H53" i="2"/>
  <c r="K52" i="2"/>
  <c r="G52" i="2"/>
  <c r="J51" i="2"/>
  <c r="F53" i="2"/>
  <c r="K53" i="2"/>
  <c r="J52" i="2"/>
  <c r="M51" i="2"/>
  <c r="I51" i="2"/>
  <c r="F52" i="2"/>
  <c r="F15" i="1"/>
  <c r="G15" i="1"/>
  <c r="D51" i="2" l="1"/>
  <c r="I54" i="2"/>
  <c r="H54" i="2"/>
  <c r="L54" i="2"/>
  <c r="K54" i="2"/>
  <c r="C51" i="2"/>
  <c r="M54" i="2"/>
  <c r="D53" i="2"/>
  <c r="D52" i="2"/>
  <c r="C53" i="2"/>
  <c r="E51" i="2"/>
  <c r="E53" i="2"/>
  <c r="E52" i="2"/>
  <c r="C52" i="2"/>
  <c r="J54" i="2"/>
  <c r="G54" i="2"/>
  <c r="F54" i="2"/>
  <c r="D54" i="2" l="1"/>
  <c r="C54" i="2"/>
  <c r="E54" i="2"/>
  <c r="C57" i="2" s="1"/>
  <c r="F18" i="1" s="1"/>
  <c r="C56" i="2" l="1"/>
  <c r="F17" i="1" s="1"/>
</calcChain>
</file>

<file path=xl/sharedStrings.xml><?xml version="1.0" encoding="utf-8"?>
<sst xmlns="http://schemas.openxmlformats.org/spreadsheetml/2006/main" count="79" uniqueCount="59">
  <si>
    <t>１．入力項目</t>
    <rPh sb="2" eb="4">
      <t>ニュウリョク</t>
    </rPh>
    <rPh sb="4" eb="6">
      <t>コウモク</t>
    </rPh>
    <phoneticPr fontId="1"/>
  </si>
  <si>
    <t>あなたの年間給与収入（見積額）</t>
    <rPh sb="4" eb="6">
      <t>ネンカン</t>
    </rPh>
    <rPh sb="6" eb="8">
      <t>キュウヨ</t>
    </rPh>
    <rPh sb="8" eb="10">
      <t>シュウニュウ</t>
    </rPh>
    <rPh sb="11" eb="13">
      <t>ミツモ</t>
    </rPh>
    <rPh sb="13" eb="14">
      <t>ガク</t>
    </rPh>
    <phoneticPr fontId="1"/>
  </si>
  <si>
    <t>配偶者の年間給与収入（見積額）</t>
    <rPh sb="0" eb="3">
      <t>ハイグウシャ</t>
    </rPh>
    <rPh sb="4" eb="6">
      <t>ネンカン</t>
    </rPh>
    <rPh sb="6" eb="8">
      <t>キュウヨ</t>
    </rPh>
    <rPh sb="8" eb="10">
      <t>シュウニュウ</t>
    </rPh>
    <rPh sb="11" eb="13">
      <t>ミツモ</t>
    </rPh>
    <rPh sb="13" eb="14">
      <t>ガク</t>
    </rPh>
    <phoneticPr fontId="1"/>
  </si>
  <si>
    <t>配偶者の年齢（翌年１月１日現在の年齢）</t>
    <rPh sb="0" eb="3">
      <t>ハイグウシャ</t>
    </rPh>
    <rPh sb="4" eb="6">
      <t>ネンレイ</t>
    </rPh>
    <phoneticPr fontId="1"/>
  </si>
  <si>
    <t>円</t>
    <rPh sb="0" eb="1">
      <t>エン</t>
    </rPh>
    <phoneticPr fontId="1"/>
  </si>
  <si>
    <t>配偶者控除・配偶者特別控除額　算出表【給与所得者用】</t>
    <rPh sb="0" eb="3">
      <t>ハイグウシャ</t>
    </rPh>
    <rPh sb="3" eb="5">
      <t>コウジョ</t>
    </rPh>
    <rPh sb="6" eb="9">
      <t>ハイグウシャ</t>
    </rPh>
    <rPh sb="9" eb="11">
      <t>トクベツ</t>
    </rPh>
    <rPh sb="11" eb="13">
      <t>コウジョ</t>
    </rPh>
    <rPh sb="13" eb="14">
      <t>ガク</t>
    </rPh>
    <rPh sb="15" eb="17">
      <t>サンシュツ</t>
    </rPh>
    <rPh sb="17" eb="18">
      <t>ヒョウ</t>
    </rPh>
    <rPh sb="19" eb="21">
      <t>キュウヨ</t>
    </rPh>
    <rPh sb="21" eb="23">
      <t>ショトク</t>
    </rPh>
    <rPh sb="23" eb="24">
      <t>シャ</t>
    </rPh>
    <rPh sb="24" eb="25">
      <t>ヨウ</t>
    </rPh>
    <phoneticPr fontId="1"/>
  </si>
  <si>
    <t>２．配偶者控除・配偶者特別控除の額</t>
  </si>
  <si>
    <t>２．配偶者控除・配偶者特別控除の額</t>
    <phoneticPr fontId="1"/>
  </si>
  <si>
    <t>あなたの年間給与所得額</t>
    <rPh sb="4" eb="6">
      <t>ネンカン</t>
    </rPh>
    <rPh sb="6" eb="8">
      <t>キュウヨ</t>
    </rPh>
    <rPh sb="8" eb="10">
      <t>ショトク</t>
    </rPh>
    <rPh sb="10" eb="11">
      <t>ガク</t>
    </rPh>
    <phoneticPr fontId="1"/>
  </si>
  <si>
    <t>区分Ⅰ</t>
    <rPh sb="0" eb="2">
      <t>クブン</t>
    </rPh>
    <phoneticPr fontId="1"/>
  </si>
  <si>
    <t>配偶者の年間給与所得額</t>
    <rPh sb="0" eb="3">
      <t>ハイグウシャ</t>
    </rPh>
    <rPh sb="4" eb="6">
      <t>ネンカン</t>
    </rPh>
    <rPh sb="6" eb="8">
      <t>キュウヨ</t>
    </rPh>
    <rPh sb="8" eb="10">
      <t>ショトク</t>
    </rPh>
    <rPh sb="10" eb="11">
      <t>ガク</t>
    </rPh>
    <phoneticPr fontId="1"/>
  </si>
  <si>
    <t>区分Ⅱ</t>
    <rPh sb="0" eb="2">
      <t>クブン</t>
    </rPh>
    <phoneticPr fontId="1"/>
  </si>
  <si>
    <t>配偶者控除の額</t>
    <rPh sb="0" eb="3">
      <t>ハイグウシャ</t>
    </rPh>
    <rPh sb="3" eb="5">
      <t>コウジョ</t>
    </rPh>
    <rPh sb="6" eb="7">
      <t>ガク</t>
    </rPh>
    <phoneticPr fontId="1"/>
  </si>
  <si>
    <t>配偶者特別控除の額</t>
    <rPh sb="0" eb="3">
      <t>ハイグウシャ</t>
    </rPh>
    <rPh sb="3" eb="5">
      <t>トクベツ</t>
    </rPh>
    <rPh sb="5" eb="7">
      <t>コウジョ</t>
    </rPh>
    <rPh sb="8" eb="9">
      <t>ガク</t>
    </rPh>
    <phoneticPr fontId="1"/>
  </si>
  <si>
    <t>給与等の収入金額（Ａ）</t>
    <rPh sb="0" eb="2">
      <t>キュウヨ</t>
    </rPh>
    <rPh sb="2" eb="3">
      <t>トウ</t>
    </rPh>
    <rPh sb="4" eb="6">
      <t>シュウニュウ</t>
    </rPh>
    <rPh sb="6" eb="8">
      <t>キンガク</t>
    </rPh>
    <phoneticPr fontId="1"/>
  </si>
  <si>
    <t>0円＝（C）</t>
  </si>
  <si>
    <t>（A）－650,000円＝（C）</t>
  </si>
  <si>
    <t>969,000円＝（C）</t>
  </si>
  <si>
    <t>970,000円＝（C）</t>
  </si>
  <si>
    <t>972,000円＝（C）</t>
  </si>
  <si>
    <t>974,000円＝（C）</t>
  </si>
  <si>
    <t>給与所得の金額（C）</t>
  </si>
  <si>
    <t>①：（A）÷４（千円未満切捨て）＝（B）　⇒　②：（B）×2.4＝（C）</t>
  </si>
  <si>
    <t>①：（A）÷４（千円未満切捨て）＝（B）　⇒　②：（B）×2.8－180,000円＝（C）</t>
  </si>
  <si>
    <t>①：（A）÷４（千円未満切捨て）＝（B）　⇒　②：（B）×3.2－540,000円＝（C）</t>
  </si>
  <si>
    <t>（A）× 90％－1,200,000円＝（C）</t>
  </si>
  <si>
    <t>（A）－2,200,000円＝（C）</t>
  </si>
  <si>
    <t>～</t>
  </si>
  <si>
    <t>～</t>
    <phoneticPr fontId="1"/>
  </si>
  <si>
    <t>１．給与所得計算</t>
    <rPh sb="2" eb="4">
      <t>キュウヨ</t>
    </rPh>
    <rPh sb="4" eb="6">
      <t>ショトク</t>
    </rPh>
    <rPh sb="6" eb="8">
      <t>ケイサン</t>
    </rPh>
    <phoneticPr fontId="1"/>
  </si>
  <si>
    <t>あなたの年間所得</t>
    <rPh sb="4" eb="6">
      <t>ネンカン</t>
    </rPh>
    <rPh sb="6" eb="8">
      <t>ショトク</t>
    </rPh>
    <phoneticPr fontId="1"/>
  </si>
  <si>
    <t>配偶者の年間所得</t>
    <rPh sb="0" eb="3">
      <t>ハイグウシャ</t>
    </rPh>
    <rPh sb="4" eb="6">
      <t>ネンカン</t>
    </rPh>
    <rPh sb="6" eb="8">
      <t>ショトク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</si>
  <si>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</si>
  <si>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</si>
  <si>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区分Ⅰ</t>
    <rPh sb="0" eb="2">
      <t>クブン</t>
    </rPh>
    <phoneticPr fontId="1"/>
  </si>
  <si>
    <t>B</t>
    <phoneticPr fontId="1"/>
  </si>
  <si>
    <t>C</t>
    <phoneticPr fontId="1"/>
  </si>
  <si>
    <t>A</t>
    <phoneticPr fontId="1"/>
  </si>
  <si>
    <t>区分Ⅱ</t>
    <rPh sb="0" eb="2">
      <t>クブン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</si>
  <si>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</si>
  <si>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</si>
  <si>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</si>
  <si>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</si>
  <si>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85万円超90万円以下</t>
  </si>
  <si>
    <t>90万円超95万円以下</t>
  </si>
  <si>
    <t>95万円超100万円以下</t>
  </si>
  <si>
    <t>100万円超105万円以下</t>
  </si>
  <si>
    <t>105万円超110万円以下</t>
  </si>
  <si>
    <t>110万円超115万円以下</t>
  </si>
  <si>
    <t>115万円超120万円以下</t>
  </si>
  <si>
    <t>120万円超123万円以下</t>
  </si>
  <si>
    <t>集計</t>
    <rPh sb="0" eb="2">
      <t>シュウケイ</t>
    </rPh>
    <phoneticPr fontId="1"/>
  </si>
  <si>
    <t>合計</t>
    <rPh sb="0" eb="2">
      <t>ゴウケイ</t>
    </rPh>
    <phoneticPr fontId="1"/>
  </si>
  <si>
    <t>配偶者控除の額</t>
    <rPh sb="0" eb="3">
      <t>ハイグウシャ</t>
    </rPh>
    <rPh sb="3" eb="5">
      <t>コウジョ</t>
    </rPh>
    <rPh sb="6" eb="7">
      <t>ガク</t>
    </rPh>
    <phoneticPr fontId="1"/>
  </si>
  <si>
    <t>配偶者特別控除の額</t>
    <rPh sb="0" eb="3">
      <t>ハイグウシャ</t>
    </rPh>
    <rPh sb="3" eb="5">
      <t>トクベツ</t>
    </rPh>
    <rPh sb="5" eb="7">
      <t>コウジョ</t>
    </rPh>
    <rPh sb="8" eb="9">
      <t>ガク</t>
    </rPh>
    <phoneticPr fontId="1"/>
  </si>
  <si>
    <t>３．給与所得者の配偶者控除等申告書における記載箇所</t>
    <rPh sb="2" eb="4">
      <t>キュウヨ</t>
    </rPh>
    <rPh sb="4" eb="6">
      <t>ショトク</t>
    </rPh>
    <rPh sb="6" eb="7">
      <t>シャ</t>
    </rPh>
    <rPh sb="8" eb="11">
      <t>ハイグウシャ</t>
    </rPh>
    <rPh sb="11" eb="13">
      <t>コウジョ</t>
    </rPh>
    <rPh sb="13" eb="14">
      <t>トウ</t>
    </rPh>
    <rPh sb="14" eb="17">
      <t>シンコクショ</t>
    </rPh>
    <rPh sb="21" eb="23">
      <t>キサイ</t>
    </rPh>
    <rPh sb="23" eb="25">
      <t>カショ</t>
    </rPh>
    <phoneticPr fontId="1"/>
  </si>
  <si>
    <t>年末調整　配偶者控除・配偶者特別控除額　算出表【給与所得者用】</t>
    <rPh sb="0" eb="2">
      <t>ネンマツ</t>
    </rPh>
    <rPh sb="2" eb="4">
      <t>チョウセイ</t>
    </rPh>
    <rPh sb="5" eb="8">
      <t>ハイグウシャ</t>
    </rPh>
    <rPh sb="8" eb="10">
      <t>コウジョ</t>
    </rPh>
    <rPh sb="11" eb="14">
      <t>ハイグウシャ</t>
    </rPh>
    <rPh sb="14" eb="16">
      <t>トクベツ</t>
    </rPh>
    <rPh sb="16" eb="18">
      <t>コウジョ</t>
    </rPh>
    <rPh sb="18" eb="19">
      <t>ガク</t>
    </rPh>
    <rPh sb="20" eb="22">
      <t>サンシュツ</t>
    </rPh>
    <rPh sb="22" eb="23">
      <t>ヒョウ</t>
    </rPh>
    <rPh sb="24" eb="26">
      <t>キュウヨ</t>
    </rPh>
    <rPh sb="26" eb="28">
      <t>ショトク</t>
    </rPh>
    <rPh sb="28" eb="29">
      <t>シャ</t>
    </rPh>
    <rPh sb="29" eb="30">
      <t>ヨウ</t>
    </rPh>
    <phoneticPr fontId="1"/>
  </si>
  <si>
    <t>70歳以上</t>
    <rPh sb="2" eb="3">
      <t>サイ</t>
    </rPh>
    <rPh sb="3" eb="5">
      <t>イジョウ</t>
    </rPh>
    <phoneticPr fontId="1"/>
  </si>
  <si>
    <t>69歳以下</t>
    <rPh sb="2" eb="3">
      <t>サイ</t>
    </rPh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</si>
</sst>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3" fillId="0" borderId="0" xfId="0" applyFont="1">
      <alignment vertical="center"/>
    </xf>
    <xf numFmtId="176" fontId="0" fillId="0" borderId="10" xfId="0" applyNumberFormat="1" applyBorder="1">
      <alignment vertical="center"/>
    </xf>
    <xf numFmtId="0" fontId="0" fillId="0" borderId="0" xfId="0" applyFill="1">
      <alignment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21</xdr:row>
      <xdr:rowOff>127502</xdr:rowOff>
    </xdr:from>
    <xdr:to>
      <xdr:col>7</xdr:col>
      <xdr:colOff>276225</xdr:colOff>
      <xdr:row>44</xdr:row>
      <xdr:rowOff>134204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252077"/>
          <a:ext cx="5657850" cy="395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tabSelected="1" workbookViewId="0">
      <selection activeCell="M18" sqref="M18"/>
    </sheetView>
  </sheetViews>
  <sheetFormatPr defaultRowHeight="13.5" x14ac:dyDescent="0.15"/>
  <cols>
    <col min="1" max="1" width="3.625" customWidth="1"/>
    <col min="5" max="5" width="10.625" customWidth="1"/>
    <col min="6" max="6" width="27.125" customWidth="1"/>
    <col min="7" max="7" width="5.625" customWidth="1"/>
  </cols>
  <sheetData>
    <row r="1" spans="1:7" ht="29.25" customHeight="1" x14ac:dyDescent="0.15">
      <c r="A1" s="1" t="s">
        <v>56</v>
      </c>
    </row>
    <row r="2" spans="1:7" ht="21" customHeight="1" x14ac:dyDescent="0.15">
      <c r="E2" s="26"/>
    </row>
    <row r="3" spans="1:7" ht="20.100000000000001" customHeight="1" x14ac:dyDescent="0.15">
      <c r="A3" s="24" t="s">
        <v>0</v>
      </c>
    </row>
    <row r="4" spans="1:7" ht="9.9499999999999993" customHeight="1" x14ac:dyDescent="0.15"/>
    <row r="5" spans="1:7" ht="28.5" customHeight="1" x14ac:dyDescent="0.15">
      <c r="B5" s="5" t="s">
        <v>1</v>
      </c>
      <c r="C5" s="6"/>
      <c r="D5" s="6"/>
      <c r="E5" s="6"/>
      <c r="F5" s="14"/>
      <c r="G5" s="7" t="s">
        <v>4</v>
      </c>
    </row>
    <row r="6" spans="1:7" ht="28.5" customHeight="1" x14ac:dyDescent="0.15">
      <c r="B6" s="11" t="s">
        <v>2</v>
      </c>
      <c r="C6" s="12"/>
      <c r="D6" s="12"/>
      <c r="E6" s="12"/>
      <c r="F6" s="15"/>
      <c r="G6" s="13" t="s">
        <v>4</v>
      </c>
    </row>
    <row r="7" spans="1:7" ht="28.5" customHeight="1" x14ac:dyDescent="0.15">
      <c r="B7" s="9" t="s">
        <v>3</v>
      </c>
      <c r="C7" s="10"/>
      <c r="D7" s="10"/>
      <c r="E7" s="10"/>
      <c r="F7" s="27" t="s">
        <v>58</v>
      </c>
      <c r="G7" s="28"/>
    </row>
    <row r="10" spans="1:7" ht="20.100000000000001" customHeight="1" x14ac:dyDescent="0.15">
      <c r="A10" s="24" t="s">
        <v>7</v>
      </c>
    </row>
    <row r="11" spans="1:7" ht="9.9499999999999993" customHeight="1" x14ac:dyDescent="0.15"/>
    <row r="12" spans="1:7" ht="28.5" customHeight="1" x14ac:dyDescent="0.15">
      <c r="B12" s="5" t="s">
        <v>8</v>
      </c>
      <c r="C12" s="6"/>
      <c r="D12" s="6"/>
      <c r="E12" s="6"/>
      <c r="F12" s="22" t="e">
        <f>計算シート!C36</f>
        <v>#VALUE!</v>
      </c>
      <c r="G12" s="7" t="s">
        <v>4</v>
      </c>
    </row>
    <row r="13" spans="1:7" ht="28.5" customHeight="1" x14ac:dyDescent="0.15">
      <c r="B13" s="16" t="s">
        <v>9</v>
      </c>
      <c r="C13" s="17"/>
      <c r="D13" s="17"/>
      <c r="E13" s="17"/>
      <c r="F13" s="23" t="e">
        <f>計算シート!C38</f>
        <v>#VALUE!</v>
      </c>
      <c r="G13" s="18" t="e">
        <f>計算シート!C39</f>
        <v>#VALUE!</v>
      </c>
    </row>
    <row r="14" spans="1:7" ht="28.5" customHeight="1" x14ac:dyDescent="0.15">
      <c r="B14" s="5" t="s">
        <v>10</v>
      </c>
      <c r="C14" s="6"/>
      <c r="D14" s="6"/>
      <c r="E14" s="6"/>
      <c r="F14" s="22" t="e">
        <f>計算シート!E36</f>
        <v>#VALUE!</v>
      </c>
      <c r="G14" s="7" t="s">
        <v>4</v>
      </c>
    </row>
    <row r="15" spans="1:7" ht="28.5" customHeight="1" x14ac:dyDescent="0.15">
      <c r="B15" s="16" t="s">
        <v>11</v>
      </c>
      <c r="C15" s="17"/>
      <c r="D15" s="17"/>
      <c r="E15" s="17"/>
      <c r="F15" s="23" t="e">
        <f>計算シート!E38</f>
        <v>#VALUE!</v>
      </c>
      <c r="G15" s="18" t="e">
        <f>計算シート!E39</f>
        <v>#VALUE!</v>
      </c>
    </row>
    <row r="16" spans="1:7" ht="12" customHeight="1" x14ac:dyDescent="0.15">
      <c r="B16" s="8"/>
      <c r="C16" s="8"/>
      <c r="D16" s="8"/>
      <c r="E16" s="8"/>
      <c r="F16" s="8"/>
      <c r="G16" s="8"/>
    </row>
    <row r="17" spans="1:7" ht="28.5" customHeight="1" x14ac:dyDescent="0.15">
      <c r="B17" s="5" t="s">
        <v>12</v>
      </c>
      <c r="C17" s="6"/>
      <c r="D17" s="6"/>
      <c r="E17" s="6"/>
      <c r="F17" s="22" t="e">
        <f>計算シート!C56</f>
        <v>#VALUE!</v>
      </c>
      <c r="G17" s="7" t="s">
        <v>4</v>
      </c>
    </row>
    <row r="18" spans="1:7" ht="28.5" customHeight="1" x14ac:dyDescent="0.15">
      <c r="B18" s="19" t="s">
        <v>13</v>
      </c>
      <c r="C18" s="20"/>
      <c r="D18" s="20"/>
      <c r="E18" s="20"/>
      <c r="F18" s="25" t="e">
        <f>計算シート!C57</f>
        <v>#VALUE!</v>
      </c>
      <c r="G18" s="21" t="s">
        <v>4</v>
      </c>
    </row>
    <row r="21" spans="1:7" ht="20.100000000000001" customHeight="1" x14ac:dyDescent="0.15">
      <c r="A21" s="24" t="s">
        <v>55</v>
      </c>
    </row>
  </sheetData>
  <mergeCells count="1">
    <mergeCell ref="F7:G7"/>
  </mergeCells>
  <phoneticPr fontId="1"/>
  <pageMargins left="0.7" right="0.48" top="0.73" bottom="0.47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計算シート!$G$7:$G$8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5" workbookViewId="0">
      <selection activeCell="E38" sqref="E38"/>
    </sheetView>
  </sheetViews>
  <sheetFormatPr defaultRowHeight="13.5" x14ac:dyDescent="0.15"/>
  <cols>
    <col min="1" max="1" width="12.125" customWidth="1"/>
    <col min="2" max="2" width="4.875" customWidth="1"/>
    <col min="3" max="3" width="14.625" customWidth="1"/>
    <col min="4" max="4" width="12.875" customWidth="1"/>
    <col min="5" max="5" width="16.375" customWidth="1"/>
    <col min="6" max="13" width="14.625" customWidth="1"/>
  </cols>
  <sheetData>
    <row r="1" spans="1:7" ht="24.75" customHeight="1" x14ac:dyDescent="0.15">
      <c r="A1" t="s">
        <v>5</v>
      </c>
    </row>
    <row r="3" spans="1:7" x14ac:dyDescent="0.15">
      <c r="A3" t="s">
        <v>29</v>
      </c>
    </row>
    <row r="5" spans="1:7" x14ac:dyDescent="0.15">
      <c r="A5" t="s">
        <v>1</v>
      </c>
      <c r="E5" t="str">
        <f>IF(配偶者控除算出表!F5="","",配偶者控除算出表!F5)</f>
        <v/>
      </c>
      <c r="F5" t="s">
        <v>4</v>
      </c>
    </row>
    <row r="6" spans="1:7" x14ac:dyDescent="0.15">
      <c r="A6" t="s">
        <v>2</v>
      </c>
      <c r="E6" t="str">
        <f>IF(配偶者控除算出表!F6="","",配偶者控除算出表!F6)</f>
        <v/>
      </c>
      <c r="F6" t="s">
        <v>4</v>
      </c>
    </row>
    <row r="7" spans="1:7" x14ac:dyDescent="0.15">
      <c r="A7" t="s">
        <v>3</v>
      </c>
      <c r="E7" s="3" t="str">
        <f>IF(配偶者控除算出表!F7="","",配偶者控除算出表!F7)</f>
        <v>69歳以下</v>
      </c>
      <c r="G7" t="s">
        <v>57</v>
      </c>
    </row>
    <row r="8" spans="1:7" x14ac:dyDescent="0.15">
      <c r="G8" t="s">
        <v>58</v>
      </c>
    </row>
    <row r="9" spans="1:7" x14ac:dyDescent="0.15">
      <c r="A9" t="s">
        <v>14</v>
      </c>
      <c r="D9" t="s">
        <v>21</v>
      </c>
    </row>
    <row r="11" spans="1:7" x14ac:dyDescent="0.15">
      <c r="A11">
        <v>1</v>
      </c>
      <c r="B11" t="s">
        <v>27</v>
      </c>
      <c r="C11" s="2">
        <v>650999</v>
      </c>
      <c r="D11" t="s">
        <v>15</v>
      </c>
    </row>
    <row r="12" spans="1:7" x14ac:dyDescent="0.15">
      <c r="A12" s="2">
        <v>651000</v>
      </c>
      <c r="B12" t="s">
        <v>27</v>
      </c>
      <c r="C12" s="2">
        <v>1618999</v>
      </c>
      <c r="D12" t="s">
        <v>16</v>
      </c>
    </row>
    <row r="13" spans="1:7" x14ac:dyDescent="0.15">
      <c r="A13" s="2">
        <v>1619000</v>
      </c>
      <c r="B13" t="s">
        <v>27</v>
      </c>
      <c r="C13" s="2">
        <v>1619999</v>
      </c>
      <c r="D13" t="s">
        <v>17</v>
      </c>
    </row>
    <row r="14" spans="1:7" x14ac:dyDescent="0.15">
      <c r="A14" s="2">
        <v>1620000</v>
      </c>
      <c r="B14" t="s">
        <v>27</v>
      </c>
      <c r="C14" s="2">
        <v>1621999</v>
      </c>
      <c r="D14" t="s">
        <v>18</v>
      </c>
    </row>
    <row r="15" spans="1:7" x14ac:dyDescent="0.15">
      <c r="A15" s="2">
        <v>1622000</v>
      </c>
      <c r="B15" t="s">
        <v>27</v>
      </c>
      <c r="C15" s="2">
        <v>1623999</v>
      </c>
      <c r="D15" t="s">
        <v>19</v>
      </c>
    </row>
    <row r="16" spans="1:7" x14ac:dyDescent="0.15">
      <c r="A16" s="2">
        <v>1624000</v>
      </c>
      <c r="B16" t="s">
        <v>27</v>
      </c>
      <c r="C16" s="2">
        <v>1627999</v>
      </c>
      <c r="D16" t="s">
        <v>20</v>
      </c>
    </row>
    <row r="17" spans="1:5" x14ac:dyDescent="0.15">
      <c r="A17" s="2">
        <v>1628000</v>
      </c>
      <c r="B17" t="s">
        <v>27</v>
      </c>
      <c r="C17" s="2">
        <v>1799999</v>
      </c>
      <c r="D17" t="s">
        <v>22</v>
      </c>
    </row>
    <row r="18" spans="1:5" x14ac:dyDescent="0.15">
      <c r="A18" s="2">
        <v>1800000</v>
      </c>
      <c r="B18" t="s">
        <v>27</v>
      </c>
      <c r="C18" s="2">
        <v>3599999</v>
      </c>
      <c r="D18" t="s">
        <v>23</v>
      </c>
    </row>
    <row r="19" spans="1:5" x14ac:dyDescent="0.15">
      <c r="A19" s="2">
        <v>3600000</v>
      </c>
      <c r="B19" t="s">
        <v>27</v>
      </c>
      <c r="C19" s="2">
        <v>6599999</v>
      </c>
      <c r="D19" t="s">
        <v>24</v>
      </c>
    </row>
    <row r="20" spans="1:5" x14ac:dyDescent="0.15">
      <c r="A20" s="2">
        <v>6600000</v>
      </c>
      <c r="B20" t="s">
        <v>27</v>
      </c>
      <c r="C20" s="2">
        <v>9999999</v>
      </c>
      <c r="D20" t="s">
        <v>25</v>
      </c>
    </row>
    <row r="21" spans="1:5" x14ac:dyDescent="0.15">
      <c r="A21" s="2">
        <v>10000000</v>
      </c>
      <c r="B21" t="s">
        <v>28</v>
      </c>
      <c r="D21" t="s">
        <v>26</v>
      </c>
    </row>
    <row r="24" spans="1:5" x14ac:dyDescent="0.15">
      <c r="C24" t="s">
        <v>30</v>
      </c>
      <c r="E24" t="s">
        <v>31</v>
      </c>
    </row>
    <row r="25" spans="1:5" x14ac:dyDescent="0.15">
      <c r="C25">
        <f>IF(E5&lt;=C11,0,0)</f>
        <v>0</v>
      </c>
      <c r="E25">
        <f>IF(E6&lt;=C11,0,0)</f>
        <v>0</v>
      </c>
    </row>
    <row r="26" spans="1:5" x14ac:dyDescent="0.15">
      <c r="C26">
        <f>IF(AND($E$5&gt;=A12,$E$5&lt;=C12),$E$5-650000,0)</f>
        <v>0</v>
      </c>
      <c r="E26">
        <f>IF(AND($E$6&gt;=A12,$E$6&lt;=C12),$E$6-650000,0)</f>
        <v>0</v>
      </c>
    </row>
    <row r="27" spans="1:5" x14ac:dyDescent="0.15">
      <c r="C27">
        <f>IF(AND($E$5&gt;=A13,$E$5&lt;=C13),969000,0)</f>
        <v>0</v>
      </c>
      <c r="E27">
        <f>IF(AND($E$6&gt;=A13,$E$6&lt;=C13),969000,0)</f>
        <v>0</v>
      </c>
    </row>
    <row r="28" spans="1:5" x14ac:dyDescent="0.15">
      <c r="C28">
        <f>IF(AND($E$5&gt;=A14,$E$5&lt;=C14),970000,0)</f>
        <v>0</v>
      </c>
      <c r="E28">
        <f>IF(AND($E$6&gt;=A14,$E$6&lt;=C14),970000,0)</f>
        <v>0</v>
      </c>
    </row>
    <row r="29" spans="1:5" x14ac:dyDescent="0.15">
      <c r="C29">
        <f>IF(AND($E$5&gt;=A15,$E$5&lt;=C15),972000,0)</f>
        <v>0</v>
      </c>
      <c r="E29">
        <f>IF(AND($E$6&gt;=A15,$E$6&lt;=C15),972000,0)</f>
        <v>0</v>
      </c>
    </row>
    <row r="30" spans="1:5" x14ac:dyDescent="0.15">
      <c r="C30">
        <f>IF(AND($E$5&gt;=A16,$E$5&lt;=C16),974000,0)</f>
        <v>0</v>
      </c>
      <c r="E30">
        <f>IF(AND($E$6&gt;=A16,$E$6&lt;=C16),974000,0)</f>
        <v>0</v>
      </c>
    </row>
    <row r="31" spans="1:5" x14ac:dyDescent="0.15">
      <c r="C31">
        <f>IF(AND($E$5&gt;=A17,$E$5&lt;=C17),ROUNDDOWN($E$5/4,-3)*2.4,0)</f>
        <v>0</v>
      </c>
      <c r="E31">
        <f>IF(AND($E$6&gt;=A17,$E$6&lt;=C17),ROUNDDOWN($E$6/4,-3)*2.4,0)</f>
        <v>0</v>
      </c>
    </row>
    <row r="32" spans="1:5" x14ac:dyDescent="0.15">
      <c r="C32">
        <f>IF(AND($E$5&gt;=A18,$E$5&lt;=C18),ROUNDDOWN($E$5/4,-3)*2.8-180000,0)</f>
        <v>0</v>
      </c>
      <c r="E32">
        <f>IF(AND($E$6&gt;=A18,$E$6&lt;=C18),ROUNDDOWN($E$6/4,-3)*2.8-180000,0)</f>
        <v>0</v>
      </c>
    </row>
    <row r="33" spans="1:13" x14ac:dyDescent="0.15">
      <c r="C33">
        <f>IF(AND($E$5&gt;=A19,$E$5&lt;=C19),ROUNDDOWN($E$5/4,-3)*3.2-540000,0)</f>
        <v>0</v>
      </c>
      <c r="E33">
        <f>IF(AND($E$6&gt;=A19,$E$6&lt;=C19),ROUNDDOWN($E$6/4,-3)*3.2-540000,0)</f>
        <v>0</v>
      </c>
    </row>
    <row r="34" spans="1:13" x14ac:dyDescent="0.15">
      <c r="C34">
        <f>IF(AND($E$5&gt;=A20,$E$5&lt;=C20),ROUNDDOWN($E$5*0.9,0)-1200000,0)</f>
        <v>0</v>
      </c>
      <c r="E34">
        <f>IF(AND($E$6&gt;=A20,$E$6&lt;=C20),ROUNDDOWN($E$6*0.9,0)-1200000,0)</f>
        <v>0</v>
      </c>
    </row>
    <row r="35" spans="1:13" x14ac:dyDescent="0.15">
      <c r="C35" t="e">
        <f>IF($E$5&gt;=A21,$E$5-2200000,0)</f>
        <v>#VALUE!</v>
      </c>
      <c r="E35" t="e">
        <f>IF($E$6&gt;=A21,$E$6-2200000,0)</f>
        <v>#VALUE!</v>
      </c>
    </row>
    <row r="36" spans="1:13" x14ac:dyDescent="0.15">
      <c r="A36" t="s">
        <v>32</v>
      </c>
      <c r="C36" t="e">
        <f>SUM(C25:C35)</f>
        <v>#VALUE!</v>
      </c>
      <c r="E36" t="e">
        <f>SUM(E25:E35)</f>
        <v>#VALUE!</v>
      </c>
    </row>
    <row r="38" spans="1:13" x14ac:dyDescent="0.15">
      <c r="A38" t="s">
        <v>33</v>
      </c>
      <c r="C38" t="e">
        <f>IF(C36&lt;=9000000,"900万円以下",IF(AND(C36&gt;9000000,C36&lt;=9500000),"900万円超950万円以下",IF(AND(C36&gt;9500000,C36&lt;=10000000),"950万円超1,000万円以下","対象外")))</f>
        <v>#VALUE!</v>
      </c>
      <c r="E38" t="e">
        <f>IF(AND(E36&lt;=380000,E7="70歳以上"),"38万円以下かつ年齢70歳以上",IF(AND(E36&lt;=380000,E7="69歳以下"),"38万円以下かつ年齢70歳未満",IF(AND(E36&gt;380000,E36&lt;=850000),"38万円超85万円以下",IF(AND(E36&gt;850000,E36&lt;=1230000),"85万円超123万円以下","対象外"))))</f>
        <v>#VALUE!</v>
      </c>
    </row>
    <row r="39" spans="1:13" x14ac:dyDescent="0.15">
      <c r="C39" s="4" t="e">
        <f>IF(C38="900万円以下","(A)",IF(C38="900万円超950万円以下","(B)",IF(C38="950万円超1,000万円以下","(C)","")))</f>
        <v>#VALUE!</v>
      </c>
      <c r="E39" s="4" t="e">
        <f>IF(E38="38万円以下かつ年齢70歳以上","①",IF(E38="38万円以下かつ年齢70歳未満","②",IF(E38="38万円超85万円以下","③",IF(E38="85万円超123万円以下","④",""))))</f>
        <v>#VALUE!</v>
      </c>
    </row>
    <row r="42" spans="1:13" x14ac:dyDescent="0.15">
      <c r="A42" t="s">
        <v>6</v>
      </c>
    </row>
    <row r="44" spans="1:13" x14ac:dyDescent="0.15">
      <c r="C44" t="s">
        <v>38</v>
      </c>
    </row>
    <row r="45" spans="1:13" x14ac:dyDescent="0.15">
      <c r="C45" s="3" t="s">
        <v>39</v>
      </c>
      <c r="D45" s="3" t="s">
        <v>40</v>
      </c>
      <c r="E45" s="3" t="s">
        <v>41</v>
      </c>
      <c r="F45" s="3" t="s">
        <v>42</v>
      </c>
    </row>
    <row r="46" spans="1:13" ht="27.75" customHeight="1" x14ac:dyDescent="0.15">
      <c r="F46" t="s">
        <v>43</v>
      </c>
      <c r="G46" t="s">
        <v>44</v>
      </c>
      <c r="H46" t="s">
        <v>45</v>
      </c>
      <c r="I46" t="s">
        <v>46</v>
      </c>
      <c r="J46" t="s">
        <v>47</v>
      </c>
      <c r="K46" t="s">
        <v>48</v>
      </c>
      <c r="L46" t="s">
        <v>49</v>
      </c>
      <c r="M46" t="s">
        <v>50</v>
      </c>
    </row>
    <row r="47" spans="1:13" x14ac:dyDescent="0.15">
      <c r="A47" t="s">
        <v>34</v>
      </c>
      <c r="B47" t="s">
        <v>37</v>
      </c>
      <c r="C47">
        <v>480000</v>
      </c>
      <c r="D47">
        <v>380000</v>
      </c>
      <c r="E47">
        <v>380000</v>
      </c>
      <c r="F47">
        <v>360000</v>
      </c>
      <c r="G47">
        <v>310000</v>
      </c>
      <c r="H47">
        <v>260000</v>
      </c>
      <c r="I47">
        <v>210000</v>
      </c>
      <c r="J47">
        <v>160000</v>
      </c>
      <c r="K47">
        <v>110000</v>
      </c>
      <c r="L47">
        <v>60000</v>
      </c>
      <c r="M47">
        <v>30000</v>
      </c>
    </row>
    <row r="48" spans="1:13" x14ac:dyDescent="0.15">
      <c r="B48" t="s">
        <v>35</v>
      </c>
      <c r="C48">
        <v>320000</v>
      </c>
      <c r="D48">
        <v>260000</v>
      </c>
      <c r="E48">
        <v>260000</v>
      </c>
      <c r="F48">
        <v>240000</v>
      </c>
      <c r="G48">
        <v>210000</v>
      </c>
      <c r="H48">
        <v>180000</v>
      </c>
      <c r="I48">
        <v>140000</v>
      </c>
      <c r="J48">
        <v>110000</v>
      </c>
      <c r="K48">
        <v>80000</v>
      </c>
      <c r="L48">
        <v>40000</v>
      </c>
      <c r="M48">
        <v>20000</v>
      </c>
    </row>
    <row r="49" spans="1:13" x14ac:dyDescent="0.15">
      <c r="B49" t="s">
        <v>36</v>
      </c>
      <c r="C49">
        <v>160000</v>
      </c>
      <c r="D49">
        <v>130000</v>
      </c>
      <c r="E49">
        <v>130000</v>
      </c>
      <c r="F49">
        <v>120000</v>
      </c>
      <c r="G49">
        <v>110000</v>
      </c>
      <c r="H49">
        <v>90000</v>
      </c>
      <c r="I49">
        <v>70000</v>
      </c>
      <c r="J49">
        <v>60000</v>
      </c>
      <c r="K49">
        <v>40000</v>
      </c>
      <c r="L49">
        <v>20000</v>
      </c>
      <c r="M49">
        <v>10000</v>
      </c>
    </row>
    <row r="51" spans="1:13" x14ac:dyDescent="0.15">
      <c r="A51" t="s">
        <v>51</v>
      </c>
      <c r="C51" t="e">
        <f>IF(AND($C$39="(A)",$E$39="①"),C47,0)</f>
        <v>#VALUE!</v>
      </c>
      <c r="D51" t="e">
        <f>IF(AND($C$39="(A)",$E$39="②"),D47,0)</f>
        <v>#VALUE!</v>
      </c>
      <c r="E51" t="e">
        <f>IF(AND($C$39="(A)",$E$39="③"),E47,0)</f>
        <v>#VALUE!</v>
      </c>
      <c r="F51" t="e">
        <f>IF(AND($C$39="(A)",$E$36&gt;850000,$E$36&lt;=900000),F47,0)</f>
        <v>#VALUE!</v>
      </c>
      <c r="G51" t="e">
        <f>IF(AND($C$39="(A)",$E$36&gt;900000,$E$36&lt;=950000),G47,0)</f>
        <v>#VALUE!</v>
      </c>
      <c r="H51" t="e">
        <f>IF(AND($C$39="(A)",$E$36&gt;950000,$E$36&lt;=1000000),H47,0)</f>
        <v>#VALUE!</v>
      </c>
      <c r="I51" t="e">
        <f>IF(AND($C$39="(A)",$E$36&gt;1000000,$E$36&lt;=1050000),I47,0)</f>
        <v>#VALUE!</v>
      </c>
      <c r="J51" t="e">
        <f>IF(AND($C$39="(A)",$E$36&gt;1050000,$E$36&lt;=1100000),J47,0)</f>
        <v>#VALUE!</v>
      </c>
      <c r="K51" t="e">
        <f>IF(AND($C$39="(A)",$E$36&gt;1100000,$E$36&lt;=1150000),K47,0)</f>
        <v>#VALUE!</v>
      </c>
      <c r="L51" t="e">
        <f>IF(AND($C$39="(A)",$E$36&gt;1150000,$E$36&lt;=1200000),L47,0)</f>
        <v>#VALUE!</v>
      </c>
      <c r="M51" t="e">
        <f>IF(AND($C$39="(A)",$E$36&gt;1200000,$E$36&lt;=1230000),M47,0)</f>
        <v>#VALUE!</v>
      </c>
    </row>
    <row r="52" spans="1:13" x14ac:dyDescent="0.15">
      <c r="C52" t="e">
        <f>IF(AND($C$39="(B)",$E$39="①"),C48,0)</f>
        <v>#VALUE!</v>
      </c>
      <c r="D52" t="e">
        <f>IF(AND($C$39="(B)",$E$39="②"),D48,0)</f>
        <v>#VALUE!</v>
      </c>
      <c r="E52" t="e">
        <f>IF(AND($C$39="(B)",$E$39="③"),E48,0)</f>
        <v>#VALUE!</v>
      </c>
      <c r="F52" t="e">
        <f>IF(AND($C$39="(B)",$E$36&gt;850000,$E$36&lt;=900000),F48,0)</f>
        <v>#VALUE!</v>
      </c>
      <c r="G52" t="e">
        <f>IF(AND($C$39="(B)",$E$36&gt;900000,$E$36&lt;=950000),G48,0)</f>
        <v>#VALUE!</v>
      </c>
      <c r="H52" t="e">
        <f>IF(AND($C$39="(B)",$E$36&gt;950000,$E$36&lt;=1000000),H48,0)</f>
        <v>#VALUE!</v>
      </c>
      <c r="I52" t="e">
        <f>IF(AND($C$39="(B)",$E$36&gt;1000000,$E$36&lt;=1050000),I48,0)</f>
        <v>#VALUE!</v>
      </c>
      <c r="J52" t="e">
        <f>IF(AND($C$39="(B)",$E$36&gt;1050000,$E$36&lt;=1100000),J48,0)</f>
        <v>#VALUE!</v>
      </c>
      <c r="K52" t="e">
        <f>IF(AND($C$39="(B)",$E$36&gt;1100000,$E$36&lt;=1150000),K48,0)</f>
        <v>#VALUE!</v>
      </c>
      <c r="L52" t="e">
        <f>IF(AND($C$39="(B)",$E$36&gt;1150000,$E$36&lt;=1200000),L48,0)</f>
        <v>#VALUE!</v>
      </c>
      <c r="M52" t="e">
        <f>IF(AND($C$39="(B)",$E$36&gt;1200000,$E$36&lt;=1230000),M48,0)</f>
        <v>#VALUE!</v>
      </c>
    </row>
    <row r="53" spans="1:13" x14ac:dyDescent="0.15">
      <c r="C53" t="e">
        <f>IF(AND($C$39="(C)",$E$39="①"),C49,0)</f>
        <v>#VALUE!</v>
      </c>
      <c r="D53" t="e">
        <f>IF(AND($C$39="(C)",$E$39="②"),D49,0)</f>
        <v>#VALUE!</v>
      </c>
      <c r="E53" t="e">
        <f>IF(AND($C$39="(C)",$E$39="③"),E49,0)</f>
        <v>#VALUE!</v>
      </c>
      <c r="F53" t="e">
        <f>IF(AND($C$39="(C)",$E$36&gt;850000,$E$36&lt;=900000),F49,0)</f>
        <v>#VALUE!</v>
      </c>
      <c r="G53" t="e">
        <f>IF(AND($C$39="(C)",$E$36&gt;900000,$E$36&lt;=950000),G49,0)</f>
        <v>#VALUE!</v>
      </c>
      <c r="H53" t="e">
        <f>IF(AND($C$39="(C)",$E$36&gt;950000,$E$36&lt;=1000000),H49,0)</f>
        <v>#VALUE!</v>
      </c>
      <c r="I53" t="e">
        <f>IF(AND($C$39="(C)",$E$36&gt;1000000,$E$36&lt;=1050000),I49,0)</f>
        <v>#VALUE!</v>
      </c>
      <c r="J53" t="e">
        <f>IF(AND($C$39="(C)",$E$36&gt;1050000,$E$36&lt;=1100000),J49,0)</f>
        <v>#VALUE!</v>
      </c>
      <c r="K53" t="e">
        <f>IF(AND($C$39="(C)",$E$36&gt;1100000,$E$36&lt;=1150000),K49,0)</f>
        <v>#VALUE!</v>
      </c>
      <c r="L53" t="e">
        <f>IF(AND($C$39="(C)",$E$36&gt;1150000,$E$36&lt;=1200000),L49,0)</f>
        <v>#VALUE!</v>
      </c>
      <c r="M53" t="e">
        <f>IF(AND($C$39="(C)",$E$36&gt;1200000,$E$36&lt;=1230000),M49,0)</f>
        <v>#VALUE!</v>
      </c>
    </row>
    <row r="54" spans="1:13" ht="30" customHeight="1" x14ac:dyDescent="0.15">
      <c r="A54" t="s">
        <v>52</v>
      </c>
      <c r="C54" t="e">
        <f>SUM(C51:C53)</f>
        <v>#VALUE!</v>
      </c>
      <c r="D54" t="e">
        <f>SUM(D51:D53)</f>
        <v>#VALUE!</v>
      </c>
      <c r="E54" t="e">
        <f t="shared" ref="E54:M54" si="0">SUM(E51:E53)</f>
        <v>#VALUE!</v>
      </c>
      <c r="F54" t="e">
        <f t="shared" si="0"/>
        <v>#VALUE!</v>
      </c>
      <c r="G54" t="e">
        <f t="shared" si="0"/>
        <v>#VALUE!</v>
      </c>
      <c r="H54" t="e">
        <f t="shared" si="0"/>
        <v>#VALUE!</v>
      </c>
      <c r="I54" t="e">
        <f t="shared" si="0"/>
        <v>#VALUE!</v>
      </c>
      <c r="J54" t="e">
        <f t="shared" si="0"/>
        <v>#VALUE!</v>
      </c>
      <c r="K54" t="e">
        <f t="shared" si="0"/>
        <v>#VALUE!</v>
      </c>
      <c r="L54" t="e">
        <f t="shared" si="0"/>
        <v>#VALUE!</v>
      </c>
      <c r="M54" t="e">
        <f t="shared" si="0"/>
        <v>#VALUE!</v>
      </c>
    </row>
    <row r="56" spans="1:13" x14ac:dyDescent="0.15">
      <c r="A56" t="s">
        <v>53</v>
      </c>
      <c r="C56" t="e">
        <f>SUM(C54:D54)</f>
        <v>#VALUE!</v>
      </c>
    </row>
    <row r="57" spans="1:13" x14ac:dyDescent="0.15">
      <c r="A57" t="s">
        <v>54</v>
      </c>
      <c r="C57" t="e">
        <f>SUM(E54:M54)</f>
        <v>#VALUE!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配偶者控除算出表</vt:lpstr>
      <vt:lpstr>計算シート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2018-10-04T08:06:15Z</cp:lastPrinted>
  <dcterms:created xsi:type="dcterms:W3CDTF">2018-10-03T05:16:21Z</dcterms:created>
  <dcterms:modified xsi:type="dcterms:W3CDTF">2018-10-05T08:49:47Z</dcterms:modified>
</cp:coreProperties>
</file>