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maruk\Desktop\配偶者（特別）控除額算出表20211115\"/>
    </mc:Choice>
  </mc:AlternateContent>
  <xr:revisionPtr revIDLastSave="0" documentId="13_ncr:1_{53A020D0-823F-4AA3-B1FF-13218E9DEFE6}" xr6:coauthVersionLast="47" xr6:coauthVersionMax="47" xr10:uidLastSave="{00000000-0000-0000-0000-000000000000}"/>
  <bookViews>
    <workbookView xWindow="-108" yWindow="-108" windowWidth="23256" windowHeight="12576" tabRatio="721" xr2:uid="{00000000-000D-0000-FFFF-FFFF00000000}"/>
  </bookViews>
  <sheets>
    <sheet name="配偶者控除・公的年金雑所得　算出表" sheetId="1" r:id="rId1"/>
    <sheet name="計算シート（配偶者控除）" sheetId="2" r:id="rId2"/>
    <sheet name="計算シート（年金本人）" sheetId="4" r:id="rId3"/>
    <sheet name="計算シート（年金配偶者）" sheetId="3" r:id="rId4"/>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4" i="1" l="1"/>
  <c r="E6" i="2"/>
  <c r="E5" i="2"/>
  <c r="E7" i="2"/>
  <c r="F7" i="3"/>
  <c r="F6" i="3"/>
  <c r="F5" i="3"/>
  <c r="F7" i="4"/>
  <c r="F6" i="4"/>
  <c r="F5" i="4"/>
  <c r="H30" i="4" l="1"/>
  <c r="F30" i="4"/>
  <c r="C30" i="4"/>
  <c r="N11" i="4"/>
  <c r="H11" i="4"/>
  <c r="B11" i="4"/>
  <c r="H30" i="3"/>
  <c r="F30" i="3"/>
  <c r="C30" i="3"/>
  <c r="N11" i="3"/>
  <c r="H11" i="3"/>
  <c r="B11" i="3"/>
  <c r="F40" i="4" l="1"/>
  <c r="H39" i="4"/>
  <c r="F31" i="4"/>
  <c r="H32" i="4"/>
  <c r="C34" i="4"/>
  <c r="F35" i="4"/>
  <c r="H36" i="4"/>
  <c r="C38" i="4"/>
  <c r="F39" i="4"/>
  <c r="H40" i="4"/>
  <c r="C33" i="4"/>
  <c r="F34" i="4"/>
  <c r="C37" i="4"/>
  <c r="F38" i="4"/>
  <c r="C32" i="4"/>
  <c r="F33" i="4"/>
  <c r="H34" i="4"/>
  <c r="C36" i="4"/>
  <c r="F37" i="4"/>
  <c r="H38" i="4"/>
  <c r="C40" i="4"/>
  <c r="C31" i="4"/>
  <c r="F32" i="4"/>
  <c r="H33" i="4"/>
  <c r="C35" i="4"/>
  <c r="F36" i="4"/>
  <c r="H37" i="4"/>
  <c r="C39" i="4"/>
  <c r="H31" i="4"/>
  <c r="H35" i="4"/>
  <c r="F40" i="3"/>
  <c r="F39" i="3"/>
  <c r="H31" i="3"/>
  <c r="C33" i="3"/>
  <c r="F34" i="3"/>
  <c r="H35" i="3"/>
  <c r="C37" i="3"/>
  <c r="F38" i="3"/>
  <c r="H39" i="3"/>
  <c r="H32" i="3"/>
  <c r="F35" i="3"/>
  <c r="C38" i="3"/>
  <c r="H40" i="3"/>
  <c r="C32" i="3"/>
  <c r="F33" i="3"/>
  <c r="H34" i="3"/>
  <c r="C36" i="3"/>
  <c r="F37" i="3"/>
  <c r="H38" i="3"/>
  <c r="C40" i="3"/>
  <c r="F31" i="3"/>
  <c r="C34" i="3"/>
  <c r="H36" i="3"/>
  <c r="C31" i="3"/>
  <c r="F32" i="3"/>
  <c r="H33" i="3"/>
  <c r="C35" i="3"/>
  <c r="F36" i="3"/>
  <c r="H37" i="3"/>
  <c r="C39" i="3"/>
  <c r="H42" i="4" l="1"/>
  <c r="F42" i="4"/>
  <c r="C42" i="4"/>
  <c r="J42" i="4" s="1"/>
  <c r="C43" i="4" s="1"/>
  <c r="F42" i="3"/>
  <c r="H42" i="3"/>
  <c r="C42" i="3"/>
  <c r="J42" i="3" l="1"/>
  <c r="C43" i="3" l="1"/>
  <c r="K6" i="1" l="1"/>
  <c r="K7" i="1"/>
  <c r="E33" i="2" l="1"/>
  <c r="E29" i="2"/>
  <c r="E28" i="2"/>
  <c r="E34" i="2"/>
  <c r="E32" i="2"/>
  <c r="E30" i="2"/>
  <c r="E35" i="2"/>
  <c r="E31" i="2"/>
  <c r="E27" i="2"/>
  <c r="E26" i="2"/>
  <c r="C32" i="2"/>
  <c r="C28" i="2"/>
  <c r="C34" i="2"/>
  <c r="C26" i="2"/>
  <c r="C33" i="2"/>
  <c r="C35" i="2"/>
  <c r="C31" i="2"/>
  <c r="C27" i="2"/>
  <c r="C30" i="2"/>
  <c r="C29" i="2"/>
  <c r="C25" i="2"/>
  <c r="E25" i="2"/>
  <c r="C36" i="2" l="1"/>
  <c r="G36" i="2" s="1"/>
  <c r="C38" i="2" s="1"/>
  <c r="E36" i="2"/>
  <c r="I36" i="2" s="1"/>
  <c r="E38" i="2" s="1"/>
  <c r="J6" i="1" l="1"/>
  <c r="F13" i="1"/>
  <c r="E39" i="2"/>
  <c r="F11" i="1"/>
  <c r="C39" i="2"/>
  <c r="J7" i="1"/>
  <c r="L52" i="2" l="1"/>
  <c r="K53" i="2"/>
  <c r="K51" i="2"/>
  <c r="I51" i="2"/>
  <c r="F52" i="2"/>
  <c r="M52" i="2"/>
  <c r="J51" i="2"/>
  <c r="F51" i="2"/>
  <c r="G52" i="2"/>
  <c r="M53" i="2"/>
  <c r="H52" i="2"/>
  <c r="G53" i="2"/>
  <c r="G51" i="2"/>
  <c r="J53" i="2"/>
  <c r="M51" i="2"/>
  <c r="H53" i="2"/>
  <c r="I52" i="2"/>
  <c r="L53" i="2"/>
  <c r="L51" i="2"/>
  <c r="K52" i="2"/>
  <c r="I53" i="2"/>
  <c r="F53" i="2"/>
  <c r="H51" i="2"/>
  <c r="J52" i="2"/>
  <c r="C51" i="2"/>
  <c r="H12" i="1"/>
  <c r="F12" i="1"/>
  <c r="D51" i="2"/>
  <c r="F14" i="1"/>
  <c r="I54" i="2" l="1"/>
  <c r="H54" i="2"/>
  <c r="L54" i="2"/>
  <c r="K54" i="2"/>
  <c r="M54" i="2"/>
  <c r="D53" i="2"/>
  <c r="D52" i="2"/>
  <c r="C53" i="2"/>
  <c r="E51" i="2"/>
  <c r="E53" i="2"/>
  <c r="E52" i="2"/>
  <c r="C52" i="2"/>
  <c r="J54" i="2"/>
  <c r="G54" i="2"/>
  <c r="F54" i="2"/>
  <c r="D54" i="2" l="1"/>
  <c r="C54" i="2"/>
  <c r="E54" i="2"/>
  <c r="C56" i="2" l="1"/>
  <c r="F16" i="1" s="1"/>
  <c r="C57" i="2"/>
  <c r="F17" i="1" s="1"/>
</calcChain>
</file>

<file path=xl/sharedStrings.xml><?xml version="1.0" encoding="utf-8"?>
<sst xmlns="http://schemas.openxmlformats.org/spreadsheetml/2006/main" count="280" uniqueCount="111">
  <si>
    <t>あなたの年間給与収入（見積額）</t>
    <rPh sb="4" eb="6">
      <t>ネンカン</t>
    </rPh>
    <rPh sb="6" eb="8">
      <t>キュウヨ</t>
    </rPh>
    <rPh sb="8" eb="10">
      <t>シュウニュウ</t>
    </rPh>
    <rPh sb="11" eb="13">
      <t>ミツモ</t>
    </rPh>
    <rPh sb="13" eb="14">
      <t>ガク</t>
    </rPh>
    <phoneticPr fontId="1"/>
  </si>
  <si>
    <t>配偶者の年間給与収入（見積額）</t>
    <rPh sb="0" eb="3">
      <t>ハイグウシャ</t>
    </rPh>
    <rPh sb="4" eb="6">
      <t>ネンカン</t>
    </rPh>
    <rPh sb="6" eb="8">
      <t>キュウヨ</t>
    </rPh>
    <rPh sb="8" eb="10">
      <t>シュウニュウ</t>
    </rPh>
    <rPh sb="11" eb="13">
      <t>ミツモ</t>
    </rPh>
    <rPh sb="13" eb="14">
      <t>ガク</t>
    </rPh>
    <phoneticPr fontId="1"/>
  </si>
  <si>
    <t>配偶者の年齢（翌年１月１日現在の年齢）</t>
    <rPh sb="0" eb="3">
      <t>ハイグウシャ</t>
    </rPh>
    <rPh sb="4" eb="6">
      <t>ネンレイ</t>
    </rPh>
    <phoneticPr fontId="1"/>
  </si>
  <si>
    <t>円</t>
    <rPh sb="0" eb="1">
      <t>エン</t>
    </rPh>
    <phoneticPr fontId="1"/>
  </si>
  <si>
    <t>配偶者控除・配偶者特別控除額　算出表【給与所得者用】</t>
    <rPh sb="0" eb="3">
      <t>ハイグウシャ</t>
    </rPh>
    <rPh sb="3" eb="5">
      <t>コウジョ</t>
    </rPh>
    <rPh sb="6" eb="9">
      <t>ハイグウシャ</t>
    </rPh>
    <rPh sb="9" eb="11">
      <t>トクベツ</t>
    </rPh>
    <rPh sb="11" eb="13">
      <t>コウジョ</t>
    </rPh>
    <rPh sb="13" eb="14">
      <t>ガク</t>
    </rPh>
    <rPh sb="15" eb="17">
      <t>サンシュツ</t>
    </rPh>
    <rPh sb="17" eb="18">
      <t>ヒョウ</t>
    </rPh>
    <rPh sb="19" eb="21">
      <t>キュウヨ</t>
    </rPh>
    <rPh sb="21" eb="23">
      <t>ショトク</t>
    </rPh>
    <rPh sb="23" eb="24">
      <t>シャ</t>
    </rPh>
    <rPh sb="24" eb="25">
      <t>ヨウ</t>
    </rPh>
    <phoneticPr fontId="1"/>
  </si>
  <si>
    <t>２．配偶者控除・配偶者特別控除の額</t>
  </si>
  <si>
    <t>２．配偶者控除・配偶者特別控除の額</t>
    <phoneticPr fontId="1"/>
  </si>
  <si>
    <t>区分Ⅰ</t>
    <rPh sb="0" eb="2">
      <t>クブン</t>
    </rPh>
    <phoneticPr fontId="1"/>
  </si>
  <si>
    <t>区分Ⅱ</t>
    <rPh sb="0" eb="2">
      <t>クブン</t>
    </rPh>
    <phoneticPr fontId="1"/>
  </si>
  <si>
    <t>配偶者控除の額</t>
    <rPh sb="0" eb="3">
      <t>ハイグウシャ</t>
    </rPh>
    <rPh sb="3" eb="5">
      <t>コウジョ</t>
    </rPh>
    <rPh sb="6" eb="7">
      <t>ガク</t>
    </rPh>
    <phoneticPr fontId="1"/>
  </si>
  <si>
    <t>配偶者特別控除の額</t>
    <rPh sb="0" eb="3">
      <t>ハイグウシャ</t>
    </rPh>
    <rPh sb="3" eb="5">
      <t>トクベツ</t>
    </rPh>
    <rPh sb="5" eb="7">
      <t>コウジョ</t>
    </rPh>
    <rPh sb="8" eb="9">
      <t>ガク</t>
    </rPh>
    <phoneticPr fontId="1"/>
  </si>
  <si>
    <t>給与等の収入金額（Ａ）</t>
    <rPh sb="0" eb="2">
      <t>キュウヨ</t>
    </rPh>
    <rPh sb="2" eb="3">
      <t>トウ</t>
    </rPh>
    <rPh sb="4" eb="6">
      <t>シュウニュウ</t>
    </rPh>
    <rPh sb="6" eb="8">
      <t>キンガク</t>
    </rPh>
    <phoneticPr fontId="1"/>
  </si>
  <si>
    <t>0円＝（C）</t>
  </si>
  <si>
    <t>給与所得の金額（C）</t>
  </si>
  <si>
    <t>～</t>
  </si>
  <si>
    <t>～</t>
    <phoneticPr fontId="1"/>
  </si>
  <si>
    <t>１．給与所得計算</t>
    <rPh sb="2" eb="4">
      <t>キュウヨ</t>
    </rPh>
    <rPh sb="4" eb="6">
      <t>ショトク</t>
    </rPh>
    <rPh sb="6" eb="8">
      <t>ケイサン</t>
    </rPh>
    <phoneticPr fontId="1"/>
  </si>
  <si>
    <t>あなたの年間所得</t>
    <rPh sb="4" eb="6">
      <t>ネンカン</t>
    </rPh>
    <rPh sb="6" eb="8">
      <t>ショトク</t>
    </rPh>
    <phoneticPr fontId="1"/>
  </si>
  <si>
    <t>配偶者の年間所得</t>
    <rPh sb="0" eb="3">
      <t>ハイグウシャ</t>
    </rPh>
    <rPh sb="4" eb="6">
      <t>ネンカン</t>
    </rPh>
    <rPh sb="6" eb="8">
      <t>ショトク</t>
    </rPh>
    <phoneticPr fontId="1"/>
  </si>
  <si>
    <t>合計</t>
    <rPh sb="0" eb="2">
      <t>ゴウケイ</t>
    </rPh>
    <phoneticPr fontId="1"/>
  </si>
  <si>
    <t>区分</t>
    <rPh sb="0" eb="2">
      <t>クブン</t>
    </rPh>
    <phoneticPr fontId="1"/>
  </si>
  <si>
    <t>区分Ⅰ</t>
    <rPh sb="0" eb="2">
      <t>クブン</t>
    </rPh>
    <phoneticPr fontId="1"/>
  </si>
  <si>
    <t>B</t>
    <phoneticPr fontId="1"/>
  </si>
  <si>
    <t>C</t>
    <phoneticPr fontId="1"/>
  </si>
  <si>
    <t>A</t>
    <phoneticPr fontId="1"/>
  </si>
  <si>
    <t>区分Ⅱ</t>
    <rPh sb="0" eb="2">
      <t>クブン</t>
    </rPh>
    <phoneticPr fontId="1"/>
  </si>
  <si>
    <t>①</t>
    <phoneticPr fontId="1"/>
  </si>
  <si>
    <t>②</t>
    <phoneticPr fontId="1"/>
  </si>
  <si>
    <t>③</t>
    <phoneticPr fontId="1"/>
  </si>
  <si>
    <t>④</t>
    <phoneticPr fontId="1"/>
  </si>
  <si>
    <t>集計</t>
    <rPh sb="0" eb="2">
      <t>シュウケイ</t>
    </rPh>
    <phoneticPr fontId="1"/>
  </si>
  <si>
    <t>合計</t>
    <rPh sb="0" eb="2">
      <t>ゴウケイ</t>
    </rPh>
    <phoneticPr fontId="1"/>
  </si>
  <si>
    <t>配偶者控除の額</t>
    <rPh sb="0" eb="3">
      <t>ハイグウシャ</t>
    </rPh>
    <rPh sb="3" eb="5">
      <t>コウジョ</t>
    </rPh>
    <rPh sb="6" eb="7">
      <t>ガク</t>
    </rPh>
    <phoneticPr fontId="1"/>
  </si>
  <si>
    <t>配偶者特別控除の額</t>
    <rPh sb="0" eb="3">
      <t>ハイグウシャ</t>
    </rPh>
    <rPh sb="3" eb="5">
      <t>トクベツ</t>
    </rPh>
    <rPh sb="5" eb="7">
      <t>コウジョ</t>
    </rPh>
    <rPh sb="8" eb="9">
      <t>ガク</t>
    </rPh>
    <phoneticPr fontId="1"/>
  </si>
  <si>
    <t>70歳以上</t>
    <rPh sb="2" eb="3">
      <t>サイ</t>
    </rPh>
    <rPh sb="3" eb="5">
      <t>イジョウ</t>
    </rPh>
    <phoneticPr fontId="1"/>
  </si>
  <si>
    <t>69歳以下</t>
    <rPh sb="2" eb="3">
      <t>サイ</t>
    </rPh>
    <rPh sb="3" eb="5">
      <t>イカ</t>
    </rPh>
    <phoneticPr fontId="1"/>
  </si>
  <si>
    <t>（A）－550,000円＝（C）</t>
    <phoneticPr fontId="1"/>
  </si>
  <si>
    <t>1,069,000円＝（C）</t>
    <phoneticPr fontId="1"/>
  </si>
  <si>
    <t>1,070,000円＝（C）</t>
    <phoneticPr fontId="1"/>
  </si>
  <si>
    <t>1,072,000円＝（C）</t>
    <phoneticPr fontId="1"/>
  </si>
  <si>
    <t>1,074,000円＝（C）</t>
    <phoneticPr fontId="1"/>
  </si>
  <si>
    <t>①：（A）÷４（千円未満切捨て）＝（B）　⇒　②：（B）×2.4+100,000＝（C）</t>
    <phoneticPr fontId="1"/>
  </si>
  <si>
    <t>①：（A）÷４（千円未満切捨て）＝（B）　⇒　②：（B）×2.8－80,000円＝（C）</t>
    <phoneticPr fontId="1"/>
  </si>
  <si>
    <t>①：（A）÷４（千円未満切捨て）＝（B）　⇒　②：（B）×3.2－440,000円＝（C）</t>
    <phoneticPr fontId="1"/>
  </si>
  <si>
    <t>（A）× 90％－1,100,000円＝（C）</t>
    <phoneticPr fontId="1"/>
  </si>
  <si>
    <t>（A）－1,950,000円＝（C）</t>
    <phoneticPr fontId="1"/>
  </si>
  <si>
    <t>95万円超100万円以下</t>
    <phoneticPr fontId="1"/>
  </si>
  <si>
    <t>100万円超105万円以下</t>
    <phoneticPr fontId="1"/>
  </si>
  <si>
    <t>105万円超110万円以下</t>
    <phoneticPr fontId="1"/>
  </si>
  <si>
    <t>110万円超115万円以下</t>
    <phoneticPr fontId="1"/>
  </si>
  <si>
    <t>115万円超120万円以下</t>
    <phoneticPr fontId="1"/>
  </si>
  <si>
    <t>120万円超125万円以下</t>
    <phoneticPr fontId="1"/>
  </si>
  <si>
    <t>125万円超130万円以下</t>
    <phoneticPr fontId="1"/>
  </si>
  <si>
    <t>130万円超133万円以下</t>
    <phoneticPr fontId="1"/>
  </si>
  <si>
    <t>その年中の公的年金等の収入（見積額）</t>
    <rPh sb="2" eb="3">
      <t>トシ</t>
    </rPh>
    <rPh sb="3" eb="4">
      <t>ジュウ</t>
    </rPh>
    <rPh sb="5" eb="7">
      <t>コウテキ</t>
    </rPh>
    <rPh sb="7" eb="9">
      <t>ネンキン</t>
    </rPh>
    <rPh sb="9" eb="10">
      <t>トウ</t>
    </rPh>
    <rPh sb="11" eb="13">
      <t>シュウニュウ</t>
    </rPh>
    <rPh sb="14" eb="16">
      <t>ミツモ</t>
    </rPh>
    <rPh sb="16" eb="17">
      <t>ガク</t>
    </rPh>
    <phoneticPr fontId="1"/>
  </si>
  <si>
    <t>年齢（翌年１月１日現在の年齢）</t>
    <rPh sb="0" eb="2">
      <t>ネンレイ</t>
    </rPh>
    <phoneticPr fontId="1"/>
  </si>
  <si>
    <t>65歳以上</t>
    <rPh sb="2" eb="3">
      <t>サイ</t>
    </rPh>
    <rPh sb="3" eb="5">
      <t>イジョウ</t>
    </rPh>
    <phoneticPr fontId="1"/>
  </si>
  <si>
    <t>1,000万円以下</t>
    <rPh sb="5" eb="7">
      <t>マンエン</t>
    </rPh>
    <rPh sb="7" eb="9">
      <t>イカ</t>
    </rPh>
    <phoneticPr fontId="1"/>
  </si>
  <si>
    <t>公的年金等控除額</t>
    <rPh sb="0" eb="2">
      <t>コウテキ</t>
    </rPh>
    <rPh sb="2" eb="4">
      <t>ネンキン</t>
    </rPh>
    <rPh sb="4" eb="5">
      <t>トウ</t>
    </rPh>
    <rPh sb="5" eb="7">
      <t>コウジョ</t>
    </rPh>
    <rPh sb="7" eb="8">
      <t>ガク</t>
    </rPh>
    <phoneticPr fontId="1"/>
  </si>
  <si>
    <t>公的年金等に係る雑所得・退職所得　算出表</t>
    <rPh sb="0" eb="2">
      <t>コウテキ</t>
    </rPh>
    <rPh sb="2" eb="4">
      <t>ネンキン</t>
    </rPh>
    <rPh sb="4" eb="5">
      <t>トウ</t>
    </rPh>
    <rPh sb="6" eb="7">
      <t>カカ</t>
    </rPh>
    <rPh sb="8" eb="11">
      <t>ザツショトク</t>
    </rPh>
    <rPh sb="12" eb="14">
      <t>タイショク</t>
    </rPh>
    <rPh sb="14" eb="16">
      <t>ショトク</t>
    </rPh>
    <rPh sb="17" eb="19">
      <t>サンシュツ</t>
    </rPh>
    <rPh sb="19" eb="20">
      <t>ヒョウ</t>
    </rPh>
    <phoneticPr fontId="1"/>
  </si>
  <si>
    <t>１．公的年金等に係る雑所得</t>
    <rPh sb="2" eb="4">
      <t>コウテキ</t>
    </rPh>
    <rPh sb="4" eb="6">
      <t>ネンキン</t>
    </rPh>
    <rPh sb="6" eb="7">
      <t>トウ</t>
    </rPh>
    <rPh sb="8" eb="9">
      <t>カカ</t>
    </rPh>
    <rPh sb="10" eb="13">
      <t>ザツショトク</t>
    </rPh>
    <phoneticPr fontId="1"/>
  </si>
  <si>
    <t>公的年金等に係る雑所得以外の所得に係る合計所得金額</t>
    <phoneticPr fontId="1"/>
  </si>
  <si>
    <t>64歳以下</t>
    <rPh sb="2" eb="3">
      <t>サイ</t>
    </rPh>
    <rPh sb="3" eb="5">
      <t>イカ</t>
    </rPh>
    <phoneticPr fontId="1"/>
  </si>
  <si>
    <t>1,000万円超2,000万円以下</t>
    <rPh sb="5" eb="7">
      <t>マンエン</t>
    </rPh>
    <rPh sb="7" eb="8">
      <t>チョウ</t>
    </rPh>
    <rPh sb="13" eb="15">
      <t>マンエン</t>
    </rPh>
    <rPh sb="15" eb="17">
      <t>イカ</t>
    </rPh>
    <phoneticPr fontId="1"/>
  </si>
  <si>
    <t>2,000万円超</t>
    <rPh sb="5" eb="7">
      <t>マンエン</t>
    </rPh>
    <rPh sb="7" eb="8">
      <t>チョウ</t>
    </rPh>
    <phoneticPr fontId="1"/>
  </si>
  <si>
    <t>　（公的年金等控除額）</t>
  </si>
  <si>
    <t>受給者の区分</t>
    <rPh sb="0" eb="3">
      <t>ジュキュウシャ</t>
    </rPh>
    <rPh sb="4" eb="6">
      <t>クブン</t>
    </rPh>
    <phoneticPr fontId="1"/>
  </si>
  <si>
    <t>受給者の区分その年中の
公的年金等の収入金額（A）</t>
    <phoneticPr fontId="1"/>
  </si>
  <si>
    <t>控除額</t>
    <rPh sb="0" eb="2">
      <t>コウジョ</t>
    </rPh>
    <rPh sb="2" eb="3">
      <t>ガク</t>
    </rPh>
    <phoneticPr fontId="1"/>
  </si>
  <si>
    <t>110万円</t>
    <phoneticPr fontId="1"/>
  </si>
  <si>
    <t>100万円</t>
    <phoneticPr fontId="1"/>
  </si>
  <si>
    <t>90万円</t>
    <phoneticPr fontId="1"/>
  </si>
  <si>
    <t>（A）×25％＋ 27万5,000円</t>
    <phoneticPr fontId="1"/>
  </si>
  <si>
    <t>（A）×25％＋ 17万5,000円</t>
    <phoneticPr fontId="1"/>
  </si>
  <si>
    <t>（A）×25％＋ 7万5,000円</t>
    <phoneticPr fontId="1"/>
  </si>
  <si>
    <t>（A）×15％＋ 68万5,000円</t>
    <phoneticPr fontId="1"/>
  </si>
  <si>
    <t>（A）×15％＋ 58万5,000円</t>
    <phoneticPr fontId="1"/>
  </si>
  <si>
    <t>（A）×15％＋ 48万5,000円</t>
    <phoneticPr fontId="1"/>
  </si>
  <si>
    <t>（A）× 5％＋145万5,000円</t>
    <phoneticPr fontId="1"/>
  </si>
  <si>
    <t>（A）× 5％＋135万5,000円</t>
    <phoneticPr fontId="1"/>
  </si>
  <si>
    <t>（A）× 5％＋125万5,000円</t>
    <phoneticPr fontId="1"/>
  </si>
  <si>
    <t>195万5,000円</t>
    <rPh sb="9" eb="10">
      <t>エン</t>
    </rPh>
    <phoneticPr fontId="1"/>
  </si>
  <si>
    <t>185万5,000円</t>
    <rPh sb="9" eb="10">
      <t>エン</t>
    </rPh>
    <phoneticPr fontId="1"/>
  </si>
  <si>
    <t>175万5,000円</t>
    <rPh sb="9" eb="10">
      <t>エン</t>
    </rPh>
    <phoneticPr fontId="1"/>
  </si>
  <si>
    <t>60万円</t>
    <phoneticPr fontId="1"/>
  </si>
  <si>
    <t>50万円</t>
    <phoneticPr fontId="1"/>
  </si>
  <si>
    <t>40万円</t>
    <phoneticPr fontId="1"/>
  </si>
  <si>
    <t>【雑所得】</t>
    <phoneticPr fontId="1"/>
  </si>
  <si>
    <t>　原稿料や印税、講演料、放送出演料、貸金の利子、生命保険契約等に基づく年金など他のいずれの所得にも該当しない</t>
    <phoneticPr fontId="1"/>
  </si>
  <si>
    <t>所得や恩給（一時恩給を除きます。）、国民年金、厚生年金、共済年金などの公的年金等は、雑所得となります。</t>
  </si>
  <si>
    <t>公的年金等に係る雑所得：収入金額から公的年金等控除額を控除した残額</t>
    <phoneticPr fontId="1"/>
  </si>
  <si>
    <t>公的年金等に
係る雑所得の金額</t>
    <rPh sb="0" eb="2">
      <t>コウテキ</t>
    </rPh>
    <rPh sb="2" eb="4">
      <t>ネンキン</t>
    </rPh>
    <rPh sb="4" eb="5">
      <t>トウ</t>
    </rPh>
    <rPh sb="7" eb="8">
      <t>カカ</t>
    </rPh>
    <rPh sb="9" eb="12">
      <t>ザツショトク</t>
    </rPh>
    <rPh sb="13" eb="15">
      <t>キンガク</t>
    </rPh>
    <phoneticPr fontId="1"/>
  </si>
  <si>
    <t>公的年金所得</t>
    <rPh sb="0" eb="6">
      <t>コウテキネンキンショトク</t>
    </rPh>
    <phoneticPr fontId="1"/>
  </si>
  <si>
    <t>配偶者の年間所得額</t>
    <rPh sb="0" eb="3">
      <t>ハイグウシャ</t>
    </rPh>
    <rPh sb="4" eb="6">
      <t>ネンカン</t>
    </rPh>
    <rPh sb="6" eb="8">
      <t>ショトク</t>
    </rPh>
    <rPh sb="8" eb="9">
      <t>ガク</t>
    </rPh>
    <phoneticPr fontId="1"/>
  </si>
  <si>
    <t>あなたの年間所得額</t>
    <rPh sb="4" eb="6">
      <t>ネンカン</t>
    </rPh>
    <rPh sb="6" eb="8">
      <t>ショトク</t>
    </rPh>
    <rPh sb="8" eb="9">
      <t>ガク</t>
    </rPh>
    <phoneticPr fontId="1"/>
  </si>
  <si>
    <t>配偶者の年齢が70歳以上</t>
    <rPh sb="9" eb="10">
      <t>サイ</t>
    </rPh>
    <rPh sb="10" eb="12">
      <t>イジョウ</t>
    </rPh>
    <phoneticPr fontId="1"/>
  </si>
  <si>
    <t>○</t>
    <phoneticPr fontId="1"/>
  </si>
  <si>
    <t>給与収入
（見積額）</t>
    <rPh sb="0" eb="2">
      <t>キュウヨ</t>
    </rPh>
    <rPh sb="2" eb="4">
      <t>シュウニュウ</t>
    </rPh>
    <rPh sb="6" eb="8">
      <t>ミツモ</t>
    </rPh>
    <rPh sb="8" eb="9">
      <t>ガク</t>
    </rPh>
    <phoneticPr fontId="1"/>
  </si>
  <si>
    <t>公的年金等の収入
（見積額）</t>
    <rPh sb="0" eb="2">
      <t>コウテキ</t>
    </rPh>
    <rPh sb="2" eb="4">
      <t>ネンキン</t>
    </rPh>
    <rPh sb="4" eb="5">
      <t>トウ</t>
    </rPh>
    <rPh sb="6" eb="8">
      <t>シュウニュウ</t>
    </rPh>
    <rPh sb="10" eb="12">
      <t>ミツモ</t>
    </rPh>
    <rPh sb="12" eb="13">
      <t>ガク</t>
    </rPh>
    <phoneticPr fontId="1"/>
  </si>
  <si>
    <t>あなたの情報</t>
    <rPh sb="4" eb="6">
      <t>ジョウホウ</t>
    </rPh>
    <phoneticPr fontId="1"/>
  </si>
  <si>
    <t>配偶者の情報</t>
    <rPh sb="0" eb="3">
      <t>ハイグウシャ</t>
    </rPh>
    <rPh sb="4" eb="6">
      <t>ジョウホウ</t>
    </rPh>
    <phoneticPr fontId="1"/>
  </si>
  <si>
    <t>配偶者控除・配偶者特別控除額　算出表【給与所得・公的年金等の雑所得用】</t>
    <rPh sb="0" eb="3">
      <t>ハイグウシャ</t>
    </rPh>
    <rPh sb="3" eb="5">
      <t>コウジョ</t>
    </rPh>
    <rPh sb="6" eb="9">
      <t>ハイグウシャ</t>
    </rPh>
    <rPh sb="9" eb="11">
      <t>トクベツ</t>
    </rPh>
    <rPh sb="11" eb="13">
      <t>コウジョ</t>
    </rPh>
    <rPh sb="13" eb="14">
      <t>ガク</t>
    </rPh>
    <rPh sb="15" eb="17">
      <t>サンシュツ</t>
    </rPh>
    <rPh sb="17" eb="18">
      <t>ヒョウ</t>
    </rPh>
    <rPh sb="19" eb="21">
      <t>キュウヨ</t>
    </rPh>
    <rPh sb="21" eb="23">
      <t>ショトク</t>
    </rPh>
    <rPh sb="24" eb="28">
      <t>コウテキネンキン</t>
    </rPh>
    <rPh sb="28" eb="29">
      <t>トウ</t>
    </rPh>
    <rPh sb="30" eb="33">
      <t>ザツショトク</t>
    </rPh>
    <rPh sb="33" eb="34">
      <t>ヨウ</t>
    </rPh>
    <rPh sb="34" eb="35">
      <t>ショヨウ</t>
    </rPh>
    <phoneticPr fontId="1"/>
  </si>
  <si>
    <t>給与所得額</t>
    <rPh sb="0" eb="2">
      <t>キュウヨ</t>
    </rPh>
    <rPh sb="2" eb="5">
      <t>ショトクガク</t>
    </rPh>
    <phoneticPr fontId="1"/>
  </si>
  <si>
    <t>公的年金等に係る
雑所得額</t>
    <rPh sb="0" eb="2">
      <t>コウテキ</t>
    </rPh>
    <rPh sb="2" eb="4">
      <t>ネンキン</t>
    </rPh>
    <rPh sb="4" eb="5">
      <t>トウ</t>
    </rPh>
    <rPh sb="6" eb="7">
      <t>カカ</t>
    </rPh>
    <rPh sb="9" eb="12">
      <t>ザツショトク</t>
    </rPh>
    <rPh sb="12" eb="13">
      <t>ガク</t>
    </rPh>
    <phoneticPr fontId="1"/>
  </si>
  <si>
    <t>１．入力項目・所得額</t>
    <rPh sb="2" eb="4">
      <t>ニュウリョク</t>
    </rPh>
    <rPh sb="4" eb="6">
      <t>コウモク</t>
    </rPh>
    <rPh sb="7" eb="10">
      <t>ショトクガク</t>
    </rPh>
    <phoneticPr fontId="1"/>
  </si>
  <si>
    <t>入力箇所</t>
    <rPh sb="0" eb="2">
      <t>ニュウリョク</t>
    </rPh>
    <rPh sb="2" eb="4">
      <t>カショ</t>
    </rPh>
    <phoneticPr fontId="1"/>
  </si>
  <si>
    <t>円</t>
  </si>
  <si>
    <t>円</t>
    <rPh sb="0" eb="1">
      <t>エン</t>
    </rPh>
    <phoneticPr fontId="1"/>
  </si>
  <si>
    <t>あなたの給与・年金所得合計</t>
    <rPh sb="4" eb="6">
      <t>キュウヨ</t>
    </rPh>
    <rPh sb="7" eb="9">
      <t>ネンキン</t>
    </rPh>
    <rPh sb="9" eb="11">
      <t>ショトク</t>
    </rPh>
    <rPh sb="11" eb="13">
      <t>ゴウケイ</t>
    </rPh>
    <phoneticPr fontId="1"/>
  </si>
  <si>
    <t>配偶者の給与・年金所得合計</t>
    <rPh sb="0" eb="3">
      <t>ハイグウシャ</t>
    </rPh>
    <rPh sb="4" eb="6">
      <t>キュウヨ</t>
    </rPh>
    <rPh sb="7" eb="9">
      <t>ネンキン</t>
    </rPh>
    <rPh sb="9" eb="11">
      <t>ショトク</t>
    </rPh>
    <rPh sb="11" eb="13">
      <t>ゴウケイ</t>
    </rPh>
    <phoneticPr fontId="1"/>
  </si>
  <si>
    <r>
      <t xml:space="preserve">年齢
</t>
    </r>
    <r>
      <rPr>
        <sz val="9"/>
        <color theme="1"/>
        <rFont val="ＭＳ Ｐゴシック"/>
        <family val="3"/>
        <charset val="128"/>
        <scheme val="minor"/>
      </rPr>
      <t>（翌年１月１日現在）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</si>
</sst>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sz val="9.5"/>
      <color theme="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3" fontId="0" fillId="0" borderId="0" xfId="0" applyNumberFormat="1">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8" xfId="0" applyNumberFormat="1" applyBorder="1">
      <alignment vertical="center"/>
    </xf>
    <xf numFmtId="0" fontId="0" fillId="0" borderId="9" xfId="0" applyNumberFormat="1" applyBorder="1">
      <alignment vertical="center"/>
    </xf>
    <xf numFmtId="0" fontId="3" fillId="0" borderId="0" xfId="0" applyFont="1">
      <alignment vertical="center"/>
    </xf>
    <xf numFmtId="0" fontId="0" fillId="0" borderId="0" xfId="0" applyFill="1">
      <alignment vertical="center"/>
    </xf>
    <xf numFmtId="176" fontId="0" fillId="0" borderId="5" xfId="0" applyNumberFormat="1" applyBorder="1">
      <alignment vertical="center"/>
    </xf>
    <xf numFmtId="176" fontId="0" fillId="0" borderId="0" xfId="0" applyNumberFormat="1" applyBorder="1">
      <alignment vertical="center"/>
    </xf>
    <xf numFmtId="176" fontId="0" fillId="0" borderId="6" xfId="0" applyNumberFormat="1" applyBorder="1" applyAlignment="1">
      <alignment horizontal="center" vertical="center"/>
    </xf>
    <xf numFmtId="176" fontId="0" fillId="0" borderId="7" xfId="0" applyNumberFormat="1" applyBorder="1">
      <alignment vertical="center"/>
    </xf>
    <xf numFmtId="0" fontId="0" fillId="0" borderId="0" xfId="0" applyAlignment="1">
      <alignment vertical="center" wrapText="1"/>
    </xf>
    <xf numFmtId="176" fontId="0" fillId="2" borderId="5" xfId="0" applyNumberFormat="1" applyFill="1" applyBorder="1" applyAlignment="1">
      <alignment horizontal="center" vertical="center"/>
    </xf>
    <xf numFmtId="176" fontId="0" fillId="2" borderId="1" xfId="0" applyNumberFormat="1" applyFill="1" applyBorder="1" applyAlignment="1">
      <alignment horizontal="center" vertical="center"/>
    </xf>
    <xf numFmtId="0" fontId="0" fillId="0" borderId="5" xfId="0" applyBorder="1" applyAlignment="1">
      <alignment horizontal="center" vertical="center" wrapText="1"/>
    </xf>
    <xf numFmtId="176" fontId="0" fillId="0" borderId="2" xfId="0" applyNumberFormat="1" applyFill="1" applyBorder="1">
      <alignment vertical="center"/>
    </xf>
    <xf numFmtId="176" fontId="0" fillId="0" borderId="0" xfId="0" applyNumberFormat="1" applyFill="1" applyBorder="1">
      <alignment vertical="center"/>
    </xf>
    <xf numFmtId="0" fontId="0" fillId="0" borderId="1" xfId="0" applyBorder="1" applyAlignment="1">
      <alignment horizontal="center" vertical="center" wrapText="1"/>
    </xf>
    <xf numFmtId="0" fontId="0" fillId="2" borderId="0" xfId="0" applyFill="1">
      <alignment vertical="center"/>
    </xf>
    <xf numFmtId="177" fontId="0" fillId="2" borderId="2" xfId="0" applyNumberFormat="1" applyFill="1" applyBorder="1" applyAlignment="1">
      <alignment horizontal="right" vertical="center"/>
    </xf>
    <xf numFmtId="177" fontId="0" fillId="0" borderId="1" xfId="0" applyNumberFormat="1" applyBorder="1" applyAlignment="1">
      <alignment horizontal="right" vertical="center"/>
    </xf>
    <xf numFmtId="177" fontId="0" fillId="2" borderId="5" xfId="0" applyNumberFormat="1" applyFill="1" applyBorder="1" applyAlignment="1">
      <alignment horizontal="right" vertical="center"/>
    </xf>
    <xf numFmtId="0" fontId="0" fillId="2" borderId="11" xfId="0" applyFill="1" applyBorder="1" applyAlignment="1">
      <alignment horizontal="center" vertical="center"/>
    </xf>
    <xf numFmtId="0" fontId="0" fillId="0" borderId="0" xfId="0" applyBorder="1" applyAlignment="1">
      <alignment horizontal="right" vertical="center"/>
    </xf>
    <xf numFmtId="176" fontId="0" fillId="0" borderId="17" xfId="0" applyNumberFormat="1" applyBorder="1" applyAlignment="1">
      <alignment vertical="center"/>
    </xf>
    <xf numFmtId="176" fontId="0" fillId="0" borderId="10" xfId="0" applyNumberFormat="1" applyBorder="1" applyAlignment="1">
      <alignment vertical="center"/>
    </xf>
    <xf numFmtId="177" fontId="0" fillId="2" borderId="11" xfId="0" applyNumberFormat="1" applyFill="1" applyBorder="1" applyAlignment="1">
      <alignment horizontal="center" vertical="center"/>
    </xf>
    <xf numFmtId="177" fontId="0" fillId="2" borderId="1" xfId="0" applyNumberFormat="1" applyFill="1" applyBorder="1" applyAlignment="1">
      <alignment horizontal="center" vertical="center"/>
    </xf>
    <xf numFmtId="0" fontId="0" fillId="0" borderId="8" xfId="0" applyBorder="1" applyAlignment="1">
      <alignment horizontal="right" vertical="center"/>
    </xf>
    <xf numFmtId="0" fontId="0" fillId="0" borderId="9" xfId="0" applyBorder="1" applyAlignment="1">
      <alignment horizontal="right" vertical="center"/>
    </xf>
    <xf numFmtId="176" fontId="0" fillId="0" borderId="15" xfId="0" applyNumberFormat="1" applyBorder="1" applyAlignment="1">
      <alignment horizontal="right" vertical="center"/>
    </xf>
    <xf numFmtId="176" fontId="0" fillId="0" borderId="16" xfId="0" applyNumberFormat="1" applyBorder="1" applyAlignment="1">
      <alignment horizontal="right" vertical="center"/>
    </xf>
    <xf numFmtId="176" fontId="0" fillId="0" borderId="8" xfId="0" applyNumberFormat="1" applyBorder="1" applyAlignment="1">
      <alignment horizontal="right" vertical="center"/>
    </xf>
    <xf numFmtId="176" fontId="0" fillId="0" borderId="9" xfId="0" applyNumberFormat="1"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177" fontId="0" fillId="2" borderId="5" xfId="0" applyNumberFormat="1" applyFill="1" applyBorder="1" applyAlignment="1">
      <alignment horizontal="right" vertical="center"/>
    </xf>
    <xf numFmtId="177" fontId="0" fillId="2" borderId="7" xfId="0" applyNumberFormat="1" applyFill="1" applyBorder="1" applyAlignment="1">
      <alignment horizontal="right" vertical="center"/>
    </xf>
    <xf numFmtId="0" fontId="0" fillId="0" borderId="6"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5"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26"/>
  <sheetViews>
    <sheetView tabSelected="1" zoomScaleNormal="100" workbookViewId="0">
      <selection activeCell="F6" sqref="F6"/>
    </sheetView>
  </sheetViews>
  <sheetFormatPr defaultRowHeight="13.2" x14ac:dyDescent="0.2"/>
  <cols>
    <col min="1" max="1" width="3.6640625" customWidth="1"/>
    <col min="4" max="4" width="7.44140625" customWidth="1"/>
    <col min="5" max="6" width="17.21875" customWidth="1"/>
    <col min="7" max="7" width="11.6640625" customWidth="1"/>
    <col min="8" max="8" width="6.21875" customWidth="1"/>
    <col min="9" max="11" width="17.21875" customWidth="1"/>
  </cols>
  <sheetData>
    <row r="1" spans="1:11" ht="24.75" customHeight="1" x14ac:dyDescent="0.2">
      <c r="A1" s="1" t="s">
        <v>101</v>
      </c>
    </row>
    <row r="2" spans="1:11" ht="5.25" customHeight="1" x14ac:dyDescent="0.2">
      <c r="A2" s="1"/>
    </row>
    <row r="3" spans="1:11" ht="15" customHeight="1" x14ac:dyDescent="0.2">
      <c r="E3" s="16"/>
      <c r="J3" s="3" t="s">
        <v>105</v>
      </c>
      <c r="K3" s="28"/>
    </row>
    <row r="4" spans="1:11" ht="20.100000000000001" customHeight="1" x14ac:dyDescent="0.2">
      <c r="A4" s="15" t="s">
        <v>104</v>
      </c>
    </row>
    <row r="5" spans="1:11" ht="40.5" customHeight="1" x14ac:dyDescent="0.2">
      <c r="A5" s="15"/>
      <c r="B5" s="44"/>
      <c r="C5" s="45"/>
      <c r="D5" s="45"/>
      <c r="E5" s="24" t="s">
        <v>110</v>
      </c>
      <c r="F5" s="27" t="s">
        <v>97</v>
      </c>
      <c r="G5" s="46" t="s">
        <v>98</v>
      </c>
      <c r="H5" s="47"/>
      <c r="I5" s="57" t="s">
        <v>61</v>
      </c>
      <c r="J5" s="27" t="s">
        <v>102</v>
      </c>
      <c r="K5" s="27" t="s">
        <v>103</v>
      </c>
    </row>
    <row r="6" spans="1:11" ht="24.9" customHeight="1" x14ac:dyDescent="0.2">
      <c r="B6" s="5" t="s">
        <v>99</v>
      </c>
      <c r="C6" s="6"/>
      <c r="D6" s="6"/>
      <c r="E6" s="32" t="s">
        <v>56</v>
      </c>
      <c r="F6" s="29"/>
      <c r="G6" s="48"/>
      <c r="H6" s="49"/>
      <c r="I6" s="36" t="s">
        <v>57</v>
      </c>
      <c r="J6" s="30">
        <f>'計算シート（配偶者控除）'!C36</f>
        <v>0</v>
      </c>
      <c r="K6" s="30">
        <f>'計算シート（年金本人）'!C43</f>
        <v>0</v>
      </c>
    </row>
    <row r="7" spans="1:11" ht="24.9" customHeight="1" x14ac:dyDescent="0.2">
      <c r="B7" s="8" t="s">
        <v>100</v>
      </c>
      <c r="C7" s="9"/>
      <c r="D7" s="9"/>
      <c r="E7" s="23" t="s">
        <v>56</v>
      </c>
      <c r="F7" s="31"/>
      <c r="G7" s="48"/>
      <c r="H7" s="49"/>
      <c r="I7" s="37" t="s">
        <v>57</v>
      </c>
      <c r="J7" s="30">
        <f>'計算シート（配偶者控除）'!E36</f>
        <v>0</v>
      </c>
      <c r="K7" s="30">
        <f>'計算シート（年金配偶者）'!C43</f>
        <v>0</v>
      </c>
    </row>
    <row r="8" spans="1:11" ht="24.9" customHeight="1" x14ac:dyDescent="0.2">
      <c r="B8" s="8" t="s">
        <v>95</v>
      </c>
      <c r="C8" s="9"/>
      <c r="D8" s="9"/>
      <c r="E8" s="22"/>
      <c r="F8" s="25"/>
      <c r="G8" s="26"/>
      <c r="H8" s="26"/>
      <c r="I8" s="26"/>
    </row>
    <row r="9" spans="1:11" ht="14.25" customHeight="1" x14ac:dyDescent="0.2"/>
    <row r="10" spans="1:11" ht="20.100000000000001" customHeight="1" x14ac:dyDescent="0.2">
      <c r="A10" s="15" t="s">
        <v>6</v>
      </c>
    </row>
    <row r="11" spans="1:11" ht="24.9" customHeight="1" x14ac:dyDescent="0.2">
      <c r="B11" s="5" t="s">
        <v>94</v>
      </c>
      <c r="C11" s="6"/>
      <c r="D11" s="6"/>
      <c r="E11" s="6"/>
      <c r="F11" s="40">
        <f>'計算シート（配偶者控除）'!G36</f>
        <v>0</v>
      </c>
      <c r="G11" s="41"/>
      <c r="H11" s="34" t="s">
        <v>107</v>
      </c>
      <c r="I11" s="18"/>
    </row>
    <row r="12" spans="1:11" ht="24.9" customHeight="1" x14ac:dyDescent="0.2">
      <c r="B12" s="10" t="s">
        <v>7</v>
      </c>
      <c r="C12" s="11"/>
      <c r="D12" s="11"/>
      <c r="E12" s="11"/>
      <c r="F12" s="38" t="str">
        <f>'計算シート（配偶者控除）'!C38</f>
        <v>900万円以下</v>
      </c>
      <c r="G12" s="39"/>
      <c r="H12" s="12" t="str">
        <f>'計算シート（配偶者控除）'!C39</f>
        <v>(A)</v>
      </c>
      <c r="I12" s="33"/>
    </row>
    <row r="13" spans="1:11" ht="24.9" customHeight="1" x14ac:dyDescent="0.2">
      <c r="B13" s="5" t="s">
        <v>93</v>
      </c>
      <c r="C13" s="6"/>
      <c r="D13" s="6"/>
      <c r="E13" s="6"/>
      <c r="F13" s="40">
        <f>'計算シート（配偶者控除）'!I36</f>
        <v>0</v>
      </c>
      <c r="G13" s="41"/>
      <c r="H13" s="34" t="s">
        <v>107</v>
      </c>
      <c r="I13" s="18"/>
    </row>
    <row r="14" spans="1:11" ht="24.9" customHeight="1" x14ac:dyDescent="0.2">
      <c r="B14" s="10" t="s">
        <v>8</v>
      </c>
      <c r="C14" s="11"/>
      <c r="D14" s="11"/>
      <c r="E14" s="11"/>
      <c r="F14" s="38" t="str">
        <f>'計算シート（配偶者控除）'!E38</f>
        <v>48万円以下かつ年齢70歳未満</v>
      </c>
      <c r="G14" s="39"/>
      <c r="H14" s="12" t="str">
        <f>'計算シート（配偶者控除）'!E39</f>
        <v>②</v>
      </c>
      <c r="I14" s="33"/>
    </row>
    <row r="15" spans="1:11" ht="9.75" customHeight="1" x14ac:dyDescent="0.2">
      <c r="B15" s="7"/>
      <c r="C15" s="7"/>
      <c r="D15" s="7"/>
      <c r="E15" s="7"/>
      <c r="F15" s="7"/>
      <c r="G15" s="7"/>
      <c r="H15" s="7"/>
      <c r="I15" s="7"/>
    </row>
    <row r="16" spans="1:11" ht="24.9" customHeight="1" x14ac:dyDescent="0.2">
      <c r="B16" s="5" t="s">
        <v>9</v>
      </c>
      <c r="C16" s="6"/>
      <c r="D16" s="6"/>
      <c r="E16" s="6"/>
      <c r="F16" s="40">
        <f>'計算シート（配偶者控除）'!C56</f>
        <v>380000</v>
      </c>
      <c r="G16" s="41"/>
      <c r="H16" s="34" t="s">
        <v>107</v>
      </c>
      <c r="I16" s="18"/>
    </row>
    <row r="17" spans="1:9" ht="24.9" customHeight="1" x14ac:dyDescent="0.2">
      <c r="B17" s="13" t="s">
        <v>10</v>
      </c>
      <c r="C17" s="14"/>
      <c r="D17" s="14"/>
      <c r="E17" s="14"/>
      <c r="F17" s="42">
        <f>'計算シート（配偶者控除）'!C57</f>
        <v>0</v>
      </c>
      <c r="G17" s="43"/>
      <c r="H17" s="35" t="s">
        <v>107</v>
      </c>
      <c r="I17" s="18"/>
    </row>
    <row r="18" spans="1:9" ht="27.9" customHeight="1" x14ac:dyDescent="0.2"/>
    <row r="19" spans="1:9" ht="27.9" customHeight="1" x14ac:dyDescent="0.2"/>
    <row r="20" spans="1:9" ht="7.5" customHeight="1" x14ac:dyDescent="0.2">
      <c r="A20" s="1"/>
    </row>
    <row r="21" spans="1:9" ht="7.5" customHeight="1" x14ac:dyDescent="0.2"/>
    <row r="22" spans="1:9" ht="27.9" customHeight="1" x14ac:dyDescent="0.2"/>
    <row r="23" spans="1:9" ht="7.5" customHeight="1" x14ac:dyDescent="0.2"/>
    <row r="24" spans="1:9" ht="27.9" customHeight="1" x14ac:dyDescent="0.2"/>
    <row r="25" spans="1:9" ht="27.9" customHeight="1" x14ac:dyDescent="0.2"/>
    <row r="26" spans="1:9" ht="27.9" customHeight="1" x14ac:dyDescent="0.2"/>
  </sheetData>
  <mergeCells count="10">
    <mergeCell ref="B5:D5"/>
    <mergeCell ref="G5:H5"/>
    <mergeCell ref="G6:H6"/>
    <mergeCell ref="G7:H7"/>
    <mergeCell ref="F11:G11"/>
    <mergeCell ref="F12:G12"/>
    <mergeCell ref="F13:G13"/>
    <mergeCell ref="F14:G14"/>
    <mergeCell ref="F16:G16"/>
    <mergeCell ref="F17:G17"/>
  </mergeCells>
  <phoneticPr fontId="1"/>
  <pageMargins left="0.7" right="0.48" top="0.73" bottom="0.47" header="0.3" footer="0.3"/>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83EAF2CC-01B1-47A4-82F3-538CA4F8E3A5}">
          <x14:formula1>
            <xm:f>'計算シート（年金本人）'!$H$6:$H$7</xm:f>
          </x14:formula1>
          <xm:sqref>E6</xm:sqref>
        </x14:dataValidation>
        <x14:dataValidation type="list" allowBlank="1" showInputMessage="1" showErrorMessage="1" xr:uid="{5575876B-19BF-44A6-A164-BEAF457F16E6}">
          <x14:formula1>
            <xm:f>'計算シート（年金配偶者）'!$H$6:$H$7</xm:f>
          </x14:formula1>
          <xm:sqref>E7</xm:sqref>
        </x14:dataValidation>
        <x14:dataValidation type="list" allowBlank="1" showInputMessage="1" showErrorMessage="1" xr:uid="{BBEF7780-C32C-49A4-BFB5-4463753E514F}">
          <x14:formula1>
            <xm:f>'計算シート（配偶者控除）'!$H$7:$H$8</xm:f>
          </x14:formula1>
          <xm:sqref>E8</xm:sqref>
        </x14:dataValidation>
        <x14:dataValidation type="list" allowBlank="1" showInputMessage="1" showErrorMessage="1" xr:uid="{09EE2393-E786-452E-BEDA-6DF17FD74B00}">
          <x14:formula1>
            <xm:f>'計算シート（年金本人）'!$J$6:$J$8</xm:f>
          </x14:formula1>
          <xm:sqref>I6</xm:sqref>
        </x14:dataValidation>
        <x14:dataValidation type="list" allowBlank="1" showInputMessage="1" showErrorMessage="1" xr:uid="{83700FE1-69C8-4CDE-95F7-41A28C242DD5}">
          <x14:formula1>
            <xm:f>'計算シート（年金配偶者）'!$J$6:$J$8</xm:f>
          </x14:formula1>
          <xm:sqref>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7"/>
  <sheetViews>
    <sheetView topLeftCell="A26" workbookViewId="0">
      <selection activeCell="E58" sqref="E58"/>
    </sheetView>
  </sheetViews>
  <sheetFormatPr defaultRowHeight="13.2" x14ac:dyDescent="0.2"/>
  <cols>
    <col min="1" max="1" width="12.109375" customWidth="1"/>
    <col min="2" max="2" width="4.88671875" customWidth="1"/>
    <col min="3" max="3" width="14.6640625" customWidth="1"/>
    <col min="4" max="4" width="12.88671875" customWidth="1"/>
    <col min="5" max="5" width="16.33203125" customWidth="1"/>
    <col min="6" max="13" width="14.6640625" customWidth="1"/>
  </cols>
  <sheetData>
    <row r="1" spans="1:8" ht="24.75" customHeight="1" x14ac:dyDescent="0.2">
      <c r="A1" t="s">
        <v>4</v>
      </c>
    </row>
    <row r="3" spans="1:8" x14ac:dyDescent="0.2">
      <c r="A3" t="s">
        <v>16</v>
      </c>
    </row>
    <row r="5" spans="1:8" x14ac:dyDescent="0.2">
      <c r="A5" t="s">
        <v>0</v>
      </c>
      <c r="E5">
        <f>IF('配偶者控除・公的年金雑所得　算出表'!F6="",0,'配偶者控除・公的年金雑所得　算出表'!F6)</f>
        <v>0</v>
      </c>
      <c r="F5" t="s">
        <v>3</v>
      </c>
    </row>
    <row r="6" spans="1:8" x14ac:dyDescent="0.2">
      <c r="A6" t="s">
        <v>1</v>
      </c>
      <c r="E6">
        <f>IF('配偶者控除・公的年金雑所得　算出表'!F7="",0,'配偶者控除・公的年金雑所得　算出表'!F7)</f>
        <v>0</v>
      </c>
      <c r="F6" t="s">
        <v>3</v>
      </c>
    </row>
    <row r="7" spans="1:8" x14ac:dyDescent="0.2">
      <c r="A7" t="s">
        <v>2</v>
      </c>
      <c r="E7" s="3" t="str">
        <f>IF('配偶者控除・公的年金雑所得　算出表'!E8="","",'配偶者控除・公的年金雑所得　算出表'!E8)</f>
        <v/>
      </c>
      <c r="G7" t="s">
        <v>34</v>
      </c>
      <c r="H7" s="3" t="s">
        <v>96</v>
      </c>
    </row>
    <row r="8" spans="1:8" x14ac:dyDescent="0.2">
      <c r="G8" t="s">
        <v>35</v>
      </c>
    </row>
    <row r="9" spans="1:8" x14ac:dyDescent="0.2">
      <c r="A9" t="s">
        <v>11</v>
      </c>
      <c r="D9" t="s">
        <v>13</v>
      </c>
    </row>
    <row r="11" spans="1:8" x14ac:dyDescent="0.2">
      <c r="A11">
        <v>1</v>
      </c>
      <c r="B11" t="s">
        <v>14</v>
      </c>
      <c r="C11" s="2">
        <v>550999</v>
      </c>
      <c r="D11" t="s">
        <v>12</v>
      </c>
    </row>
    <row r="12" spans="1:8" x14ac:dyDescent="0.2">
      <c r="A12" s="2">
        <v>551000</v>
      </c>
      <c r="B12" t="s">
        <v>14</v>
      </c>
      <c r="C12" s="2">
        <v>1618999</v>
      </c>
      <c r="D12" t="s">
        <v>36</v>
      </c>
    </row>
    <row r="13" spans="1:8" x14ac:dyDescent="0.2">
      <c r="A13" s="2">
        <v>1619000</v>
      </c>
      <c r="B13" t="s">
        <v>14</v>
      </c>
      <c r="C13" s="2">
        <v>1619999</v>
      </c>
      <c r="D13" t="s">
        <v>37</v>
      </c>
    </row>
    <row r="14" spans="1:8" x14ac:dyDescent="0.2">
      <c r="A14" s="2">
        <v>1620000</v>
      </c>
      <c r="B14" t="s">
        <v>14</v>
      </c>
      <c r="C14" s="2">
        <v>1621999</v>
      </c>
      <c r="D14" t="s">
        <v>38</v>
      </c>
    </row>
    <row r="15" spans="1:8" x14ac:dyDescent="0.2">
      <c r="A15" s="2">
        <v>1622000</v>
      </c>
      <c r="B15" t="s">
        <v>14</v>
      </c>
      <c r="C15" s="2">
        <v>1623999</v>
      </c>
      <c r="D15" t="s">
        <v>39</v>
      </c>
    </row>
    <row r="16" spans="1:8" x14ac:dyDescent="0.2">
      <c r="A16" s="2">
        <v>1624000</v>
      </c>
      <c r="B16" t="s">
        <v>14</v>
      </c>
      <c r="C16" s="2">
        <v>1627999</v>
      </c>
      <c r="D16" t="s">
        <v>40</v>
      </c>
    </row>
    <row r="17" spans="1:5" x14ac:dyDescent="0.2">
      <c r="A17" s="2">
        <v>1628000</v>
      </c>
      <c r="B17" t="s">
        <v>14</v>
      </c>
      <c r="C17" s="2">
        <v>1799999</v>
      </c>
      <c r="D17" t="s">
        <v>41</v>
      </c>
    </row>
    <row r="18" spans="1:5" x14ac:dyDescent="0.2">
      <c r="A18" s="2">
        <v>1800000</v>
      </c>
      <c r="B18" t="s">
        <v>14</v>
      </c>
      <c r="C18" s="2">
        <v>3599999</v>
      </c>
      <c r="D18" t="s">
        <v>42</v>
      </c>
    </row>
    <row r="19" spans="1:5" x14ac:dyDescent="0.2">
      <c r="A19" s="2">
        <v>3600000</v>
      </c>
      <c r="B19" t="s">
        <v>14</v>
      </c>
      <c r="C19" s="2">
        <v>6599999</v>
      </c>
      <c r="D19" t="s">
        <v>43</v>
      </c>
    </row>
    <row r="20" spans="1:5" x14ac:dyDescent="0.2">
      <c r="A20" s="2">
        <v>6600000</v>
      </c>
      <c r="B20" t="s">
        <v>14</v>
      </c>
      <c r="C20" s="2">
        <v>8499999</v>
      </c>
      <c r="D20" t="s">
        <v>44</v>
      </c>
    </row>
    <row r="21" spans="1:5" x14ac:dyDescent="0.2">
      <c r="A21" s="2">
        <v>8500000</v>
      </c>
      <c r="B21" t="s">
        <v>15</v>
      </c>
      <c r="D21" t="s">
        <v>45</v>
      </c>
    </row>
    <row r="24" spans="1:5" x14ac:dyDescent="0.2">
      <c r="C24" t="s">
        <v>17</v>
      </c>
      <c r="E24" t="s">
        <v>18</v>
      </c>
    </row>
    <row r="25" spans="1:5" x14ac:dyDescent="0.2">
      <c r="C25">
        <f>IF(E5&lt;=C11,0,0)</f>
        <v>0</v>
      </c>
      <c r="E25">
        <f>IF(E6&lt;=C11,0,0)</f>
        <v>0</v>
      </c>
    </row>
    <row r="26" spans="1:5" x14ac:dyDescent="0.2">
      <c r="C26">
        <f>IF(AND($E$5&gt;=A12,$E$5&lt;=C12),$E$5-550000,0)</f>
        <v>0</v>
      </c>
      <c r="E26">
        <f>IF(AND($E$6&gt;=A12,$E$6&lt;=C12),$E$6-550000,0)</f>
        <v>0</v>
      </c>
    </row>
    <row r="27" spans="1:5" x14ac:dyDescent="0.2">
      <c r="C27">
        <f>IF(AND($E$5&gt;=A13,$E$5&lt;=C13),1069000,0)</f>
        <v>0</v>
      </c>
      <c r="E27">
        <f>IF(AND($E$6&gt;=A13,$E$6&lt;=C13),1069000,0)</f>
        <v>0</v>
      </c>
    </row>
    <row r="28" spans="1:5" x14ac:dyDescent="0.2">
      <c r="C28">
        <f>IF(AND($E$5&gt;=A14,$E$5&lt;=C14),1070000,0)</f>
        <v>0</v>
      </c>
      <c r="E28">
        <f>IF(AND($E$6&gt;=A14,$E$6&lt;=C14),1070000,0)</f>
        <v>0</v>
      </c>
    </row>
    <row r="29" spans="1:5" x14ac:dyDescent="0.2">
      <c r="C29">
        <f>IF(AND($E$5&gt;=A15,$E$5&lt;=C15),1072000,0)</f>
        <v>0</v>
      </c>
      <c r="E29">
        <f>IF(AND($E$6&gt;=A15,$E$6&lt;=C15),1072000,0)</f>
        <v>0</v>
      </c>
    </row>
    <row r="30" spans="1:5" x14ac:dyDescent="0.2">
      <c r="C30">
        <f>IF(AND($E$5&gt;=A16,$E$5&lt;=C16),1074000,0)</f>
        <v>0</v>
      </c>
      <c r="E30">
        <f>IF(AND($E$6&gt;=A16,$E$6&lt;=C16),1074000,0)</f>
        <v>0</v>
      </c>
    </row>
    <row r="31" spans="1:5" x14ac:dyDescent="0.2">
      <c r="C31">
        <f>IF(AND($E$5&gt;=A17,$E$5&lt;=C17),ROUNDDOWN($E$5/4,-3)*2.4+100000,0)</f>
        <v>0</v>
      </c>
      <c r="E31">
        <f>IF(AND($E$6&gt;=A17,$E$6&lt;=C17),ROUNDDOWN($E$6/4,-3)*2.4+100000,0)</f>
        <v>0</v>
      </c>
    </row>
    <row r="32" spans="1:5" x14ac:dyDescent="0.2">
      <c r="C32">
        <f>IF(AND($E$5&gt;=A18,$E$5&lt;=C18),ROUNDDOWN($E$5/4,-3)*2.8-80000,0)</f>
        <v>0</v>
      </c>
      <c r="E32">
        <f>IF(AND($E$6&gt;=A18,$E$6&lt;=C18),ROUNDDOWN($E$6/4,-3)*2.8-80000,0)</f>
        <v>0</v>
      </c>
    </row>
    <row r="33" spans="1:13" x14ac:dyDescent="0.2">
      <c r="C33">
        <f>IF(AND($E$5&gt;=A19,$E$5&lt;=C19),ROUNDDOWN($E$5/4,-3)*3.2-440000,0)</f>
        <v>0</v>
      </c>
      <c r="E33">
        <f>IF(AND($E$6&gt;=A19,$E$6&lt;=C19),ROUNDDOWN($E$6/4,-3)*3.2-440000,0)</f>
        <v>0</v>
      </c>
    </row>
    <row r="34" spans="1:13" x14ac:dyDescent="0.2">
      <c r="C34">
        <f>IF(AND($E$5&gt;=A20,$E$5&lt;=C20),ROUNDDOWN($E$5*0.9,0)-1100000,0)</f>
        <v>0</v>
      </c>
      <c r="E34">
        <f>IF(AND($E$6&gt;=A20,$E$6&lt;=C20),ROUNDDOWN($E$6*0.9,0)-1100000,0)</f>
        <v>0</v>
      </c>
    </row>
    <row r="35" spans="1:13" x14ac:dyDescent="0.2">
      <c r="C35">
        <f>IF($E$5&gt;=A21,$E$5-1950000,0)</f>
        <v>0</v>
      </c>
      <c r="E35">
        <f>IF($E$6&gt;=A21,$E$6-1950000,0)</f>
        <v>0</v>
      </c>
      <c r="G35" t="s">
        <v>108</v>
      </c>
      <c r="I35" t="s">
        <v>109</v>
      </c>
    </row>
    <row r="36" spans="1:13" x14ac:dyDescent="0.2">
      <c r="A36" t="s">
        <v>19</v>
      </c>
      <c r="C36">
        <f>SUM(C25:C35)</f>
        <v>0</v>
      </c>
      <c r="E36">
        <f>SUM(E25:E35)</f>
        <v>0</v>
      </c>
      <c r="G36">
        <f>C36+'計算シート（年金本人）'!C43</f>
        <v>0</v>
      </c>
      <c r="I36">
        <f>E36+'計算シート（年金配偶者）'!C43</f>
        <v>0</v>
      </c>
    </row>
    <row r="38" spans="1:13" x14ac:dyDescent="0.2">
      <c r="A38" t="s">
        <v>20</v>
      </c>
      <c r="C38" t="str">
        <f>IF(G36&lt;=9000000,"900万円以下",IF(AND(G36&gt;9000000,G36&lt;=9500000),"900万円超950万円以下",IF(AND(G36&gt;9500000,G36&lt;=10000000),"950万円超1,000万円以下","対象外")))</f>
        <v>900万円以下</v>
      </c>
      <c r="E38" t="str">
        <f>IF(AND(I36&lt;=480000,E7="○"),"48万円以下かつ年齢70歳以上",IF(AND(I36&lt;=480000,E7=""),"48万円以下かつ年齢70歳未満",IF(AND(I36&gt;480000,I36&lt;=950000),"48万円超95万円以下",IF(AND(I36&gt;950000,I36&lt;=1330000),"95万円超133万円以下","対象外"))))</f>
        <v>48万円以下かつ年齢70歳未満</v>
      </c>
      <c r="G38" s="3" t="s">
        <v>92</v>
      </c>
    </row>
    <row r="39" spans="1:13" x14ac:dyDescent="0.2">
      <c r="C39" s="4" t="str">
        <f>IF(C38="900万円以下","(A)",IF(C38="900万円超950万円以下","(B)",IF(C38="950万円超1,000万円以下","(C)","")))</f>
        <v>(A)</v>
      </c>
      <c r="E39" s="4" t="str">
        <f>IF(E38="48万円以下かつ年齢70歳以上","①",IF(E38="48万円以下かつ年齢70歳未満","②",IF(E38="48万円超95万円以下","③",IF(E38="95万円超133万円以下","④",""))))</f>
        <v>②</v>
      </c>
    </row>
    <row r="42" spans="1:13" x14ac:dyDescent="0.2">
      <c r="A42" t="s">
        <v>5</v>
      </c>
    </row>
    <row r="44" spans="1:13" x14ac:dyDescent="0.2">
      <c r="C44" t="s">
        <v>25</v>
      </c>
    </row>
    <row r="45" spans="1:13" x14ac:dyDescent="0.2">
      <c r="C45" s="3" t="s">
        <v>26</v>
      </c>
      <c r="D45" s="3" t="s">
        <v>27</v>
      </c>
      <c r="E45" s="3" t="s">
        <v>28</v>
      </c>
      <c r="F45" s="3" t="s">
        <v>29</v>
      </c>
    </row>
    <row r="46" spans="1:13" ht="27.75" customHeight="1" x14ac:dyDescent="0.2">
      <c r="F46" t="s">
        <v>46</v>
      </c>
      <c r="G46" t="s">
        <v>47</v>
      </c>
      <c r="H46" t="s">
        <v>48</v>
      </c>
      <c r="I46" t="s">
        <v>49</v>
      </c>
      <c r="J46" t="s">
        <v>50</v>
      </c>
      <c r="K46" t="s">
        <v>51</v>
      </c>
      <c r="L46" t="s">
        <v>52</v>
      </c>
      <c r="M46" t="s">
        <v>53</v>
      </c>
    </row>
    <row r="47" spans="1:13" x14ac:dyDescent="0.2">
      <c r="A47" t="s">
        <v>21</v>
      </c>
      <c r="B47" t="s">
        <v>24</v>
      </c>
      <c r="C47">
        <v>480000</v>
      </c>
      <c r="D47">
        <v>380000</v>
      </c>
      <c r="E47">
        <v>380000</v>
      </c>
      <c r="F47">
        <v>360000</v>
      </c>
      <c r="G47">
        <v>310000</v>
      </c>
      <c r="H47">
        <v>260000</v>
      </c>
      <c r="I47">
        <v>210000</v>
      </c>
      <c r="J47">
        <v>160000</v>
      </c>
      <c r="K47">
        <v>110000</v>
      </c>
      <c r="L47">
        <v>60000</v>
      </c>
      <c r="M47">
        <v>30000</v>
      </c>
    </row>
    <row r="48" spans="1:13" x14ac:dyDescent="0.2">
      <c r="B48" t="s">
        <v>22</v>
      </c>
      <c r="C48">
        <v>320000</v>
      </c>
      <c r="D48">
        <v>260000</v>
      </c>
      <c r="E48">
        <v>260000</v>
      </c>
      <c r="F48">
        <v>240000</v>
      </c>
      <c r="G48">
        <v>210000</v>
      </c>
      <c r="H48">
        <v>180000</v>
      </c>
      <c r="I48">
        <v>140000</v>
      </c>
      <c r="J48">
        <v>110000</v>
      </c>
      <c r="K48">
        <v>80000</v>
      </c>
      <c r="L48">
        <v>40000</v>
      </c>
      <c r="M48">
        <v>20000</v>
      </c>
    </row>
    <row r="49" spans="1:13" x14ac:dyDescent="0.2">
      <c r="B49" t="s">
        <v>23</v>
      </c>
      <c r="C49">
        <v>160000</v>
      </c>
      <c r="D49">
        <v>130000</v>
      </c>
      <c r="E49">
        <v>130000</v>
      </c>
      <c r="F49">
        <v>120000</v>
      </c>
      <c r="G49">
        <v>110000</v>
      </c>
      <c r="H49">
        <v>90000</v>
      </c>
      <c r="I49">
        <v>70000</v>
      </c>
      <c r="J49">
        <v>60000</v>
      </c>
      <c r="K49">
        <v>40000</v>
      </c>
      <c r="L49">
        <v>20000</v>
      </c>
      <c r="M49">
        <v>10000</v>
      </c>
    </row>
    <row r="51" spans="1:13" x14ac:dyDescent="0.2">
      <c r="A51" t="s">
        <v>30</v>
      </c>
      <c r="C51">
        <f>IF(AND($C$39="(A)",$E$39="①"),C47,0)</f>
        <v>0</v>
      </c>
      <c r="D51">
        <f>IF(AND($C$39="(A)",$E$39="②"),D47,0)</f>
        <v>380000</v>
      </c>
      <c r="E51">
        <f>IF(AND($C$39="(A)",$E$39="③"),E47,0)</f>
        <v>0</v>
      </c>
      <c r="F51">
        <f>IF(AND($C$39="(A)",$I$36&gt;950000,$I$36&lt;=1000000),F47,0)</f>
        <v>0</v>
      </c>
      <c r="G51">
        <f>IF(AND($C$39="(A)",$I$36&gt;1000000,$I$36&lt;=1050000),G47,0)</f>
        <v>0</v>
      </c>
      <c r="H51">
        <f>IF(AND($C$39="(A)",$I$36&gt;1050000,$I$36&lt;=1100000),H47,0)</f>
        <v>0</v>
      </c>
      <c r="I51">
        <f>IF(AND($C$39="(A)",$I$36&gt;1100000,$I$36&lt;=1150000),I47,0)</f>
        <v>0</v>
      </c>
      <c r="J51">
        <f>IF(AND($C$39="(A)",$I$36&gt;1150000,$I$36&lt;=1200000),J47,0)</f>
        <v>0</v>
      </c>
      <c r="K51">
        <f>IF(AND($C$39="(A)",$I$36&gt;1200000,$I$36&lt;=1250000),K47,0)</f>
        <v>0</v>
      </c>
      <c r="L51">
        <f>IF(AND($C$39="(A)",$I$36&gt;1250000,$I$36&lt;=1300000),L47,0)</f>
        <v>0</v>
      </c>
      <c r="M51">
        <f>IF(AND($C$39="(A)",$I$36&gt;1300000,$I$36&lt;=1330000),M47,0)</f>
        <v>0</v>
      </c>
    </row>
    <row r="52" spans="1:13" x14ac:dyDescent="0.2">
      <c r="C52">
        <f>IF(AND($C$39="(B)",$E$39="①"),C48,0)</f>
        <v>0</v>
      </c>
      <c r="D52">
        <f>IF(AND($C$39="(B)",$E$39="②"),D48,0)</f>
        <v>0</v>
      </c>
      <c r="E52">
        <f>IF(AND($C$39="(B)",$E$39="③"),E48,0)</f>
        <v>0</v>
      </c>
      <c r="F52">
        <f>IF(AND($C$39="(B)",$I$36&gt;950000,$I$36&lt;=1000000),F48,0)</f>
        <v>0</v>
      </c>
      <c r="G52">
        <f>IF(AND($C$39="(B)",$I$36&gt;1000000,$I$36&lt;=1050000),G48,0)</f>
        <v>0</v>
      </c>
      <c r="H52">
        <f>IF(AND($C$39="(B)",$I$36&gt;1050000,$I$36&lt;=1100000),H48,0)</f>
        <v>0</v>
      </c>
      <c r="I52">
        <f>IF(AND($C$39="(B)",$I$36&gt;1100000,$I$36&lt;=1150000),I48,0)</f>
        <v>0</v>
      </c>
      <c r="J52">
        <f>IF(AND($C$39="(B)",$I$36&gt;1150000,$I$36&lt;=1200000),J48,0)</f>
        <v>0</v>
      </c>
      <c r="K52">
        <f>IF(AND($C$39="(B)",$I$36&gt;1200000,$I$36&lt;=1250000),K48,0)</f>
        <v>0</v>
      </c>
      <c r="L52">
        <f>IF(AND($C$39="(B)",$I$36&gt;1250000,$I$36&lt;=1300000),L48,0)</f>
        <v>0</v>
      </c>
      <c r="M52">
        <f>IF(AND($C$39="(B)",$I$36&gt;1300000,$I$36&lt;=1330000),M48,0)</f>
        <v>0</v>
      </c>
    </row>
    <row r="53" spans="1:13" x14ac:dyDescent="0.2">
      <c r="C53">
        <f>IF(AND($C$39="(C)",$E$39="①"),C49,0)</f>
        <v>0</v>
      </c>
      <c r="D53">
        <f>IF(AND($C$39="(C)",$E$39="②"),D49,0)</f>
        <v>0</v>
      </c>
      <c r="E53">
        <f>IF(AND($C$39="(C)",$E$39="③"),E49,0)</f>
        <v>0</v>
      </c>
      <c r="F53">
        <f>IF(AND($C$39="(C)",$I$36&gt;950000,$I$36&lt;=1000000),F49,0)</f>
        <v>0</v>
      </c>
      <c r="G53">
        <f>IF(AND($C$39="(C)",$I$36&gt;1000000,$I$36&lt;=1050000),G49,0)</f>
        <v>0</v>
      </c>
      <c r="H53">
        <f>IF(AND($C$39="(C)",$I$36&gt;1050000,$I$36&lt;=1100000),H49,0)</f>
        <v>0</v>
      </c>
      <c r="I53">
        <f>IF(AND($C$39="(C)",$I$36&gt;1100000,$I$36&lt;=1150000),I49,0)</f>
        <v>0</v>
      </c>
      <c r="J53">
        <f>IF(AND($C$39="(C)",$I$36&gt;1150000,$I$36&lt;=1200000),J49,0)</f>
        <v>0</v>
      </c>
      <c r="K53">
        <f>IF(AND($C$39="(C)",$I$36&gt;1200000,$I$36&lt;=1250000),K49,0)</f>
        <v>0</v>
      </c>
      <c r="L53">
        <f>IF(AND($C$39="(C)",$I$36&gt;1250000,$I$36&lt;=1300000),L49,0)</f>
        <v>0</v>
      </c>
      <c r="M53">
        <f>IF(AND($C$39="(C)",$I$36&gt;1300000,$I$36&lt;=1330000),M49,0)</f>
        <v>0</v>
      </c>
    </row>
    <row r="54" spans="1:13" ht="30" customHeight="1" x14ac:dyDescent="0.2">
      <c r="A54" t="s">
        <v>31</v>
      </c>
      <c r="C54">
        <f>SUM(C51:C53)</f>
        <v>0</v>
      </c>
      <c r="D54">
        <f>SUM(D51:D53)</f>
        <v>380000</v>
      </c>
      <c r="E54">
        <f t="shared" ref="E54:M54" si="0">SUM(E51:E53)</f>
        <v>0</v>
      </c>
      <c r="F54">
        <f t="shared" si="0"/>
        <v>0</v>
      </c>
      <c r="G54">
        <f t="shared" si="0"/>
        <v>0</v>
      </c>
      <c r="H54">
        <f t="shared" si="0"/>
        <v>0</v>
      </c>
      <c r="I54">
        <f t="shared" si="0"/>
        <v>0</v>
      </c>
      <c r="J54">
        <f t="shared" si="0"/>
        <v>0</v>
      </c>
      <c r="K54">
        <f t="shared" si="0"/>
        <v>0</v>
      </c>
      <c r="L54">
        <f t="shared" si="0"/>
        <v>0</v>
      </c>
      <c r="M54">
        <f t="shared" si="0"/>
        <v>0</v>
      </c>
    </row>
    <row r="56" spans="1:13" x14ac:dyDescent="0.2">
      <c r="A56" t="s">
        <v>32</v>
      </c>
      <c r="C56">
        <f>SUM(C54:D54)</f>
        <v>380000</v>
      </c>
    </row>
    <row r="57" spans="1:13" x14ac:dyDescent="0.2">
      <c r="A57" t="s">
        <v>33</v>
      </c>
      <c r="C57">
        <f>SUM(E54:M54)</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50ECA-9DB4-4766-A5CB-101EC1BC892D}">
  <dimension ref="A1:R43"/>
  <sheetViews>
    <sheetView topLeftCell="A26" workbookViewId="0">
      <selection activeCell="F44" sqref="F44"/>
    </sheetView>
  </sheetViews>
  <sheetFormatPr defaultRowHeight="13.2" x14ac:dyDescent="0.2"/>
  <cols>
    <col min="1" max="1" width="4" customWidth="1"/>
    <col min="2" max="2" width="13.21875" customWidth="1"/>
    <col min="3" max="3" width="13" customWidth="1"/>
    <col min="4" max="4" width="3.88671875" customWidth="1"/>
    <col min="5" max="5" width="12.109375" customWidth="1"/>
    <col min="6" max="6" width="25.44140625" customWidth="1"/>
    <col min="9" max="9" width="10.88671875" customWidth="1"/>
    <col min="11" max="11" width="10.77734375" customWidth="1"/>
    <col min="12" max="12" width="25.109375" customWidth="1"/>
    <col min="15" max="15" width="11.109375" customWidth="1"/>
    <col min="17" max="17" width="11.109375" customWidth="1"/>
    <col min="18" max="18" width="24.77734375" customWidth="1"/>
  </cols>
  <sheetData>
    <row r="1" spans="1:18" x14ac:dyDescent="0.2">
      <c r="A1" t="s">
        <v>59</v>
      </c>
    </row>
    <row r="3" spans="1:18" x14ac:dyDescent="0.2">
      <c r="A3" t="s">
        <v>60</v>
      </c>
    </row>
    <row r="5" spans="1:18" x14ac:dyDescent="0.2">
      <c r="B5" t="s">
        <v>54</v>
      </c>
      <c r="F5">
        <f>'配偶者控除・公的年金雑所得　算出表'!G6</f>
        <v>0</v>
      </c>
      <c r="G5" t="s">
        <v>106</v>
      </c>
    </row>
    <row r="6" spans="1:18" x14ac:dyDescent="0.2">
      <c r="B6" t="s">
        <v>55</v>
      </c>
      <c r="F6" s="3" t="str">
        <f>'配偶者控除・公的年金雑所得　算出表'!E6</f>
        <v>65歳以上</v>
      </c>
      <c r="H6" t="s">
        <v>56</v>
      </c>
      <c r="J6" t="s">
        <v>57</v>
      </c>
    </row>
    <row r="7" spans="1:18" x14ac:dyDescent="0.2">
      <c r="B7" t="s">
        <v>61</v>
      </c>
      <c r="F7" s="3" t="str">
        <f>'配偶者控除・公的年金雑所得　算出表'!I6</f>
        <v>1,000万円以下</v>
      </c>
      <c r="H7" t="s">
        <v>62</v>
      </c>
      <c r="J7" t="s">
        <v>63</v>
      </c>
    </row>
    <row r="8" spans="1:18" x14ac:dyDescent="0.2">
      <c r="J8" t="s">
        <v>64</v>
      </c>
    </row>
    <row r="10" spans="1:18" x14ac:dyDescent="0.2">
      <c r="B10" t="s">
        <v>65</v>
      </c>
    </row>
    <row r="11" spans="1:18" x14ac:dyDescent="0.2">
      <c r="B11" t="str">
        <f>J6</f>
        <v>1,000万円以下</v>
      </c>
      <c r="H11" t="str">
        <f>J7</f>
        <v>1,000万円超2,000万円以下</v>
      </c>
      <c r="N11" t="str">
        <f>J8</f>
        <v>2,000万円超</v>
      </c>
    </row>
    <row r="12" spans="1:18" ht="29.25" customHeight="1" x14ac:dyDescent="0.2">
      <c r="B12" s="4" t="s">
        <v>66</v>
      </c>
      <c r="C12" s="46" t="s">
        <v>67</v>
      </c>
      <c r="D12" s="50"/>
      <c r="E12" s="47"/>
      <c r="F12" s="4" t="s">
        <v>68</v>
      </c>
      <c r="H12" s="4" t="s">
        <v>66</v>
      </c>
      <c r="I12" s="46" t="s">
        <v>67</v>
      </c>
      <c r="J12" s="50"/>
      <c r="K12" s="47"/>
      <c r="L12" s="4" t="s">
        <v>68</v>
      </c>
      <c r="N12" s="4" t="s">
        <v>66</v>
      </c>
      <c r="O12" s="46" t="s">
        <v>67</v>
      </c>
      <c r="P12" s="50"/>
      <c r="Q12" s="47"/>
      <c r="R12" s="4" t="s">
        <v>68</v>
      </c>
    </row>
    <row r="13" spans="1:18" x14ac:dyDescent="0.2">
      <c r="B13" s="51" t="s">
        <v>56</v>
      </c>
      <c r="C13" s="17">
        <v>1</v>
      </c>
      <c r="D13" s="19" t="s">
        <v>15</v>
      </c>
      <c r="E13" s="20">
        <v>3300000</v>
      </c>
      <c r="F13" s="4" t="s">
        <v>69</v>
      </c>
      <c r="H13" s="51" t="s">
        <v>56</v>
      </c>
      <c r="I13" s="17">
        <v>1</v>
      </c>
      <c r="J13" s="19" t="s">
        <v>15</v>
      </c>
      <c r="K13" s="20">
        <v>3300000</v>
      </c>
      <c r="L13" s="4" t="s">
        <v>70</v>
      </c>
      <c r="N13" s="51" t="s">
        <v>56</v>
      </c>
      <c r="O13" s="17">
        <v>1</v>
      </c>
      <c r="P13" s="19" t="s">
        <v>15</v>
      </c>
      <c r="Q13" s="20">
        <v>3300000</v>
      </c>
      <c r="R13" s="4" t="s">
        <v>71</v>
      </c>
    </row>
    <row r="14" spans="1:18" x14ac:dyDescent="0.2">
      <c r="B14" s="52"/>
      <c r="C14" s="17">
        <v>3300001</v>
      </c>
      <c r="D14" s="19" t="s">
        <v>15</v>
      </c>
      <c r="E14" s="20">
        <v>4100000</v>
      </c>
      <c r="F14" s="4" t="s">
        <v>72</v>
      </c>
      <c r="H14" s="52"/>
      <c r="I14" s="17">
        <v>3300001</v>
      </c>
      <c r="J14" s="19" t="s">
        <v>15</v>
      </c>
      <c r="K14" s="20">
        <v>4100000</v>
      </c>
      <c r="L14" s="4" t="s">
        <v>73</v>
      </c>
      <c r="N14" s="52"/>
      <c r="O14" s="17">
        <v>3300001</v>
      </c>
      <c r="P14" s="19" t="s">
        <v>15</v>
      </c>
      <c r="Q14" s="20">
        <v>4100000</v>
      </c>
      <c r="R14" s="4" t="s">
        <v>74</v>
      </c>
    </row>
    <row r="15" spans="1:18" x14ac:dyDescent="0.2">
      <c r="B15" s="52"/>
      <c r="C15" s="17">
        <v>4100001</v>
      </c>
      <c r="D15" s="19" t="s">
        <v>15</v>
      </c>
      <c r="E15" s="20">
        <v>7700000</v>
      </c>
      <c r="F15" s="4" t="s">
        <v>75</v>
      </c>
      <c r="H15" s="52"/>
      <c r="I15" s="17">
        <v>4100001</v>
      </c>
      <c r="J15" s="19" t="s">
        <v>15</v>
      </c>
      <c r="K15" s="20">
        <v>7700000</v>
      </c>
      <c r="L15" s="4" t="s">
        <v>76</v>
      </c>
      <c r="N15" s="52"/>
      <c r="O15" s="17">
        <v>4100001</v>
      </c>
      <c r="P15" s="19" t="s">
        <v>15</v>
      </c>
      <c r="Q15" s="20">
        <v>7700000</v>
      </c>
      <c r="R15" s="4" t="s">
        <v>77</v>
      </c>
    </row>
    <row r="16" spans="1:18" x14ac:dyDescent="0.2">
      <c r="B16" s="52"/>
      <c r="C16" s="17">
        <v>7700001</v>
      </c>
      <c r="D16" s="19" t="s">
        <v>15</v>
      </c>
      <c r="E16" s="20">
        <v>10000000</v>
      </c>
      <c r="F16" s="4" t="s">
        <v>78</v>
      </c>
      <c r="H16" s="52"/>
      <c r="I16" s="17">
        <v>7700001</v>
      </c>
      <c r="J16" s="19" t="s">
        <v>15</v>
      </c>
      <c r="K16" s="20">
        <v>10000000</v>
      </c>
      <c r="L16" s="4" t="s">
        <v>79</v>
      </c>
      <c r="N16" s="52"/>
      <c r="O16" s="17">
        <v>7700001</v>
      </c>
      <c r="P16" s="19" t="s">
        <v>15</v>
      </c>
      <c r="Q16" s="20">
        <v>10000000</v>
      </c>
      <c r="R16" s="4" t="s">
        <v>80</v>
      </c>
    </row>
    <row r="17" spans="2:18" x14ac:dyDescent="0.2">
      <c r="B17" s="53"/>
      <c r="C17" s="17">
        <v>10000001</v>
      </c>
      <c r="D17" s="19" t="s">
        <v>15</v>
      </c>
      <c r="E17" s="20"/>
      <c r="F17" s="4" t="s">
        <v>81</v>
      </c>
      <c r="H17" s="53"/>
      <c r="I17" s="17">
        <v>10000001</v>
      </c>
      <c r="J17" s="19" t="s">
        <v>15</v>
      </c>
      <c r="K17" s="20"/>
      <c r="L17" s="4" t="s">
        <v>82</v>
      </c>
      <c r="N17" s="53"/>
      <c r="O17" s="17">
        <v>10000001</v>
      </c>
      <c r="P17" s="19" t="s">
        <v>15</v>
      </c>
      <c r="Q17" s="20"/>
      <c r="R17" s="4" t="s">
        <v>83</v>
      </c>
    </row>
    <row r="18" spans="2:18" x14ac:dyDescent="0.2">
      <c r="B18" s="54" t="s">
        <v>62</v>
      </c>
      <c r="C18" s="17">
        <v>1</v>
      </c>
      <c r="D18" s="19" t="s">
        <v>15</v>
      </c>
      <c r="E18" s="20">
        <v>1300000</v>
      </c>
      <c r="F18" s="4" t="s">
        <v>84</v>
      </c>
      <c r="H18" s="54" t="s">
        <v>62</v>
      </c>
      <c r="I18" s="17">
        <v>1</v>
      </c>
      <c r="J18" s="19" t="s">
        <v>15</v>
      </c>
      <c r="K18" s="20">
        <v>1300000</v>
      </c>
      <c r="L18" s="4" t="s">
        <v>85</v>
      </c>
      <c r="N18" s="54" t="s">
        <v>62</v>
      </c>
      <c r="O18" s="17">
        <v>1</v>
      </c>
      <c r="P18" s="19" t="s">
        <v>15</v>
      </c>
      <c r="Q18" s="20">
        <v>1300000</v>
      </c>
      <c r="R18" s="4" t="s">
        <v>86</v>
      </c>
    </row>
    <row r="19" spans="2:18" x14ac:dyDescent="0.2">
      <c r="B19" s="55"/>
      <c r="C19" s="17">
        <v>1300001</v>
      </c>
      <c r="D19" s="19" t="s">
        <v>15</v>
      </c>
      <c r="E19" s="20">
        <v>4100000</v>
      </c>
      <c r="F19" s="4" t="s">
        <v>72</v>
      </c>
      <c r="H19" s="55"/>
      <c r="I19" s="17">
        <v>1300001</v>
      </c>
      <c r="J19" s="19" t="s">
        <v>15</v>
      </c>
      <c r="K19" s="20">
        <v>4100000</v>
      </c>
      <c r="L19" s="4" t="s">
        <v>73</v>
      </c>
      <c r="N19" s="55"/>
      <c r="O19" s="17">
        <v>1300001</v>
      </c>
      <c r="P19" s="19" t="s">
        <v>15</v>
      </c>
      <c r="Q19" s="20">
        <v>4100000</v>
      </c>
      <c r="R19" s="4" t="s">
        <v>74</v>
      </c>
    </row>
    <row r="20" spans="2:18" x14ac:dyDescent="0.2">
      <c r="B20" s="55"/>
      <c r="C20" s="17">
        <v>4100001</v>
      </c>
      <c r="D20" s="19" t="s">
        <v>14</v>
      </c>
      <c r="E20" s="20">
        <v>7700000</v>
      </c>
      <c r="F20" s="4" t="s">
        <v>75</v>
      </c>
      <c r="H20" s="55"/>
      <c r="I20" s="17">
        <v>4100001</v>
      </c>
      <c r="J20" s="19" t="s">
        <v>14</v>
      </c>
      <c r="K20" s="20">
        <v>7700000</v>
      </c>
      <c r="L20" s="4" t="s">
        <v>76</v>
      </c>
      <c r="N20" s="55"/>
      <c r="O20" s="17">
        <v>4100001</v>
      </c>
      <c r="P20" s="19" t="s">
        <v>14</v>
      </c>
      <c r="Q20" s="20">
        <v>7700000</v>
      </c>
      <c r="R20" s="4" t="s">
        <v>77</v>
      </c>
    </row>
    <row r="21" spans="2:18" x14ac:dyDescent="0.2">
      <c r="B21" s="55"/>
      <c r="C21" s="17">
        <v>7700001</v>
      </c>
      <c r="D21" s="19" t="s">
        <v>14</v>
      </c>
      <c r="E21" s="20">
        <v>10000000</v>
      </c>
      <c r="F21" s="4" t="s">
        <v>78</v>
      </c>
      <c r="H21" s="55"/>
      <c r="I21" s="17">
        <v>7700001</v>
      </c>
      <c r="J21" s="19" t="s">
        <v>14</v>
      </c>
      <c r="K21" s="20">
        <v>10000000</v>
      </c>
      <c r="L21" s="4" t="s">
        <v>79</v>
      </c>
      <c r="N21" s="55"/>
      <c r="O21" s="17">
        <v>7700001</v>
      </c>
      <c r="P21" s="19" t="s">
        <v>14</v>
      </c>
      <c r="Q21" s="20">
        <v>10000000</v>
      </c>
      <c r="R21" s="4" t="s">
        <v>80</v>
      </c>
    </row>
    <row r="22" spans="2:18" x14ac:dyDescent="0.2">
      <c r="B22" s="56"/>
      <c r="C22" s="17">
        <v>10000001</v>
      </c>
      <c r="D22" s="19" t="s">
        <v>15</v>
      </c>
      <c r="E22" s="20"/>
      <c r="F22" s="4" t="s">
        <v>81</v>
      </c>
      <c r="H22" s="56"/>
      <c r="I22" s="17">
        <v>10000001</v>
      </c>
      <c r="J22" s="19" t="s">
        <v>15</v>
      </c>
      <c r="K22" s="20"/>
      <c r="L22" s="4" t="s">
        <v>82</v>
      </c>
      <c r="N22" s="56"/>
      <c r="O22" s="17">
        <v>10000001</v>
      </c>
      <c r="P22" s="19" t="s">
        <v>15</v>
      </c>
      <c r="Q22" s="20"/>
      <c r="R22" s="4" t="s">
        <v>83</v>
      </c>
    </row>
    <row r="24" spans="2:18" x14ac:dyDescent="0.2">
      <c r="B24" t="s">
        <v>87</v>
      </c>
    </row>
    <row r="25" spans="2:18" x14ac:dyDescent="0.2">
      <c r="B25" t="s">
        <v>88</v>
      </c>
    </row>
    <row r="26" spans="2:18" x14ac:dyDescent="0.2">
      <c r="B26" t="s">
        <v>89</v>
      </c>
    </row>
    <row r="28" spans="2:18" x14ac:dyDescent="0.2">
      <c r="B28" t="s">
        <v>90</v>
      </c>
    </row>
    <row r="30" spans="2:18" x14ac:dyDescent="0.2">
      <c r="C30" t="str">
        <f>J6</f>
        <v>1,000万円以下</v>
      </c>
      <c r="F30" t="str">
        <f>J7</f>
        <v>1,000万円超2,000万円以下</v>
      </c>
      <c r="H30" t="str">
        <f>J8</f>
        <v>2,000万円超</v>
      </c>
    </row>
    <row r="31" spans="2:18" x14ac:dyDescent="0.2">
      <c r="B31" t="s">
        <v>56</v>
      </c>
      <c r="C31">
        <f>IF(AND($F$6=$H$6,$F$7=$J$6,$F$5&gt;=C13,$F$5&lt;=E13),1100000,0)</f>
        <v>0</v>
      </c>
      <c r="F31">
        <f>IF(AND($F$6=$H$6,$F$7=$J$7,$F$5&gt;=I13,$F$5&lt;=K13),1000000,0)</f>
        <v>0</v>
      </c>
      <c r="H31">
        <f>IF(AND($F$6=$H$6,$F$7=$J$8,$F$5&gt;=O13,$F$5&lt;=Q13),900000,0)</f>
        <v>0</v>
      </c>
    </row>
    <row r="32" spans="2:18" x14ac:dyDescent="0.2">
      <c r="C32">
        <f>IF(AND($F$6=$H$6,$F$7=$J$6,$F$5&gt;=C14,$F$5&lt;=E14),ROUNDUP($F$5*0.25+275000,0),0)</f>
        <v>0</v>
      </c>
      <c r="F32">
        <f>IF(AND($F$6=$H$6,$F$7=$J$7,$F$5&gt;=I14,$F$5&lt;=K14),ROUNDUP($F$5*0.25+175000,0),0)</f>
        <v>0</v>
      </c>
      <c r="H32">
        <f>IF(AND($F$6=$H$6,$F$7=$J$8,$F$5&gt;=O14,$F$5&lt;=Q14),ROUNDUP($F$5*0.25+75000,0),0)</f>
        <v>0</v>
      </c>
    </row>
    <row r="33" spans="2:10" x14ac:dyDescent="0.2">
      <c r="C33">
        <f>IF(AND($F$6=$H$6,$F$7=$J$6,$F$5&gt;=C15,$F$5&lt;=E15),ROUNDUP($F$5*0.15+685000,0),0)</f>
        <v>0</v>
      </c>
      <c r="F33">
        <f>IF(AND($F$6=$H$6,$F$7=$J$7,$F$5&gt;=I15,$F$5&lt;=K15),ROUNDUP($F$5*0.15+585000,0),0)</f>
        <v>0</v>
      </c>
      <c r="H33">
        <f>IF(AND($F$6=$H$6,$F$7=$J$8,$F$5&gt;=O15,$F$5&lt;=Q15),ROUNDUP($F$5*0.15+485000,0),0)</f>
        <v>0</v>
      </c>
    </row>
    <row r="34" spans="2:10" x14ac:dyDescent="0.2">
      <c r="C34">
        <f>IF(AND($F$6=$H$6,$F$7=$J$6,$F$5&gt;=C16,$F$5&lt;=E16),ROUNDUP($F$5*0.05+1455000,0),0)</f>
        <v>0</v>
      </c>
      <c r="F34">
        <f>IF(AND($F$6=$H$6,$F$7=$J$7,$F$5&gt;=I16,$F$5&lt;=K16),ROUNDUP($F$5*0.05+1355000,0),0)</f>
        <v>0</v>
      </c>
      <c r="H34">
        <f>IF(AND($F$6=$H$6,$F$7=$J$8,$F$5&gt;=O16,$F$5&lt;=Q16),ROUNDUP($F$5*0.05+1255000,0),0)</f>
        <v>0</v>
      </c>
    </row>
    <row r="35" spans="2:10" x14ac:dyDescent="0.2">
      <c r="C35">
        <f>IF(AND($F$6=$H$6,$F$7=$J$6,$F$5&gt;=C17),1955000,0)</f>
        <v>0</v>
      </c>
      <c r="F35">
        <f>IF(AND($F$6=$H$6,$F$7=$J$7,$F$5&gt;=I17),1855000,0)</f>
        <v>0</v>
      </c>
      <c r="H35">
        <f>IF(AND($F$6=$H$6,$F$7=$J$8,$F$5&gt;=O17),1755000,0)</f>
        <v>0</v>
      </c>
    </row>
    <row r="36" spans="2:10" x14ac:dyDescent="0.2">
      <c r="B36" t="s">
        <v>62</v>
      </c>
      <c r="C36">
        <f>IF(AND($F$6=$H$7,$F$7=$J$6,$F$5&gt;=C18,$F$5&lt;=E18),600000,0)</f>
        <v>0</v>
      </c>
      <c r="F36">
        <f>IF(AND($F$6=$H$7,$F$7=$J$7,$F$5&gt;=I18,$F$5&lt;=K18),500000,0)</f>
        <v>0</v>
      </c>
      <c r="H36">
        <f>IF(AND($F$6=$H$7,$F$7=$J$8,$F$5&gt;=O18,$F$5&lt;=Q18),400000,0)</f>
        <v>0</v>
      </c>
    </row>
    <row r="37" spans="2:10" x14ac:dyDescent="0.2">
      <c r="C37">
        <f>IF(AND($F$6=$H$7,$F$7=$J$6,$F$5&gt;=C19,$F$5&lt;=E19),ROUNDUP($F$5*0.25+275000,0),0)</f>
        <v>0</v>
      </c>
      <c r="F37">
        <f>IF(AND($F$6=$H$7,$F$7=$J$7,$F$5&gt;=I19,$F$5&lt;=K19),ROUNDUP($F$5*0.25+175000,0),0)</f>
        <v>0</v>
      </c>
      <c r="H37">
        <f>IF(AND($F$6=$H$7,$F$7=$J$8,$F$5&gt;=O19,$F$5&lt;=Q19),ROUNDUP($F$5*0.25+75000,0),0)</f>
        <v>0</v>
      </c>
    </row>
    <row r="38" spans="2:10" x14ac:dyDescent="0.2">
      <c r="C38">
        <f>IF(AND($F$6=$H$7,$F$7=$J$6,$F$5&gt;=C20,$F$5&lt;=E20),ROUNDUP($F$5*0.15+685000,0),0)</f>
        <v>0</v>
      </c>
      <c r="F38">
        <f>IF(AND($F$6=$H$7,$F$7=$J$7,$F$5&gt;=I20,$F$5&lt;=K20),ROUNDUP($F$5*0.15+585000,0),0)</f>
        <v>0</v>
      </c>
      <c r="H38">
        <f>IF(AND($F$6=$H$7,$F$7=$J$8,$F$5&gt;=O20,$F$5&lt;=Q20),ROUNDUP($F$5*0.15+485000,0),0)</f>
        <v>0</v>
      </c>
    </row>
    <row r="39" spans="2:10" x14ac:dyDescent="0.2">
      <c r="C39">
        <f>IF(AND($F$6=$H$7,$F$7=$J$6,$F$5&gt;=C21,$F$5&lt;=E21),ROUNDUP($F$5*0.05+1455000,0),0)</f>
        <v>0</v>
      </c>
      <c r="F39">
        <f>IF(AND($F$6=$H$7,$F$7=$J$7,$F$5&gt;=I21,$F$5&lt;=K21),ROUNDUP($F$5*0.05+1355000,0),0)</f>
        <v>0</v>
      </c>
      <c r="H39">
        <f>IF(AND($F$6=$H$7,$F$7=$J$8,$F$5&gt;=O21,$F$5&lt;=Q21),ROUNDUP($F$5*0.05+1255000,0),0)</f>
        <v>0</v>
      </c>
    </row>
    <row r="40" spans="2:10" x14ac:dyDescent="0.2">
      <c r="C40">
        <f>IF(AND($F$6=$H$7,$F$7=$J$6,$F$5&gt;=C22),1955000,0)</f>
        <v>0</v>
      </c>
      <c r="F40">
        <f>IF(AND($F$6=$H$7,$F$7=$J$7,$F$5&gt;=I22),1855000,0)</f>
        <v>0</v>
      </c>
      <c r="H40">
        <f>IF(AND($F$6=$H$7,$F$7=$J$8,$F$5&gt;=O22),1755000,0)</f>
        <v>0</v>
      </c>
    </row>
    <row r="42" spans="2:10" x14ac:dyDescent="0.2">
      <c r="B42" t="s">
        <v>58</v>
      </c>
      <c r="C42">
        <f>SUM(C31:C41)</f>
        <v>0</v>
      </c>
      <c r="F42">
        <f>SUM(F31:F41)</f>
        <v>0</v>
      </c>
      <c r="H42">
        <f>SUM(H31:H41)</f>
        <v>0</v>
      </c>
      <c r="J42">
        <f>SUM(C42:H42)</f>
        <v>0</v>
      </c>
    </row>
    <row r="43" spans="2:10" ht="39.6" x14ac:dyDescent="0.2">
      <c r="B43" s="21" t="s">
        <v>91</v>
      </c>
      <c r="C43">
        <f>MAX($F$5-J42,0)</f>
        <v>0</v>
      </c>
    </row>
  </sheetData>
  <mergeCells count="9">
    <mergeCell ref="O12:Q12"/>
    <mergeCell ref="B13:B17"/>
    <mergeCell ref="H13:H17"/>
    <mergeCell ref="N13:N17"/>
    <mergeCell ref="B18:B22"/>
    <mergeCell ref="H18:H22"/>
    <mergeCell ref="N18:N22"/>
    <mergeCell ref="C12:E12"/>
    <mergeCell ref="I12:K1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workbookViewId="0">
      <selection activeCell="C43" sqref="C43"/>
    </sheetView>
  </sheetViews>
  <sheetFormatPr defaultRowHeight="13.2" x14ac:dyDescent="0.2"/>
  <cols>
    <col min="1" max="1" width="4" customWidth="1"/>
    <col min="2" max="2" width="13.21875" customWidth="1"/>
    <col min="3" max="3" width="13" customWidth="1"/>
    <col min="4" max="4" width="3.88671875" customWidth="1"/>
    <col min="5" max="5" width="12.109375" customWidth="1"/>
    <col min="6" max="6" width="25.44140625" customWidth="1"/>
    <col min="9" max="9" width="10.88671875" customWidth="1"/>
    <col min="11" max="11" width="10.77734375" customWidth="1"/>
    <col min="12" max="12" width="25.109375" customWidth="1"/>
    <col min="15" max="15" width="11.109375" customWidth="1"/>
    <col min="17" max="17" width="11.109375" customWidth="1"/>
    <col min="18" max="18" width="24.77734375" customWidth="1"/>
  </cols>
  <sheetData>
    <row r="1" spans="1:18" x14ac:dyDescent="0.2">
      <c r="A1" t="s">
        <v>59</v>
      </c>
    </row>
    <row r="3" spans="1:18" x14ac:dyDescent="0.2">
      <c r="A3" t="s">
        <v>60</v>
      </c>
    </row>
    <row r="5" spans="1:18" x14ac:dyDescent="0.2">
      <c r="B5" t="s">
        <v>54</v>
      </c>
      <c r="F5">
        <f>'配偶者控除・公的年金雑所得　算出表'!G7</f>
        <v>0</v>
      </c>
      <c r="G5" t="s">
        <v>3</v>
      </c>
    </row>
    <row r="6" spans="1:18" x14ac:dyDescent="0.2">
      <c r="B6" t="s">
        <v>55</v>
      </c>
      <c r="F6" s="3" t="str">
        <f>'配偶者控除・公的年金雑所得　算出表'!E7</f>
        <v>65歳以上</v>
      </c>
      <c r="H6" t="s">
        <v>56</v>
      </c>
      <c r="J6" t="s">
        <v>57</v>
      </c>
    </row>
    <row r="7" spans="1:18" x14ac:dyDescent="0.2">
      <c r="B7" t="s">
        <v>61</v>
      </c>
      <c r="F7" s="3" t="str">
        <f>'配偶者控除・公的年金雑所得　算出表'!I7</f>
        <v>1,000万円以下</v>
      </c>
      <c r="H7" t="s">
        <v>62</v>
      </c>
      <c r="J7" t="s">
        <v>63</v>
      </c>
    </row>
    <row r="8" spans="1:18" x14ac:dyDescent="0.2">
      <c r="J8" t="s">
        <v>64</v>
      </c>
    </row>
    <row r="10" spans="1:18" x14ac:dyDescent="0.2">
      <c r="B10" t="s">
        <v>65</v>
      </c>
    </row>
    <row r="11" spans="1:18" x14ac:dyDescent="0.2">
      <c r="B11" t="str">
        <f>J6</f>
        <v>1,000万円以下</v>
      </c>
      <c r="H11" t="str">
        <f>J7</f>
        <v>1,000万円超2,000万円以下</v>
      </c>
      <c r="N11" t="str">
        <f>J8</f>
        <v>2,000万円超</v>
      </c>
    </row>
    <row r="12" spans="1:18" ht="29.25" customHeight="1" x14ac:dyDescent="0.2">
      <c r="B12" s="4" t="s">
        <v>66</v>
      </c>
      <c r="C12" s="46" t="s">
        <v>67</v>
      </c>
      <c r="D12" s="50"/>
      <c r="E12" s="47"/>
      <c r="F12" s="4" t="s">
        <v>68</v>
      </c>
      <c r="H12" s="4" t="s">
        <v>66</v>
      </c>
      <c r="I12" s="46" t="s">
        <v>67</v>
      </c>
      <c r="J12" s="50"/>
      <c r="K12" s="47"/>
      <c r="L12" s="4" t="s">
        <v>68</v>
      </c>
      <c r="N12" s="4" t="s">
        <v>66</v>
      </c>
      <c r="O12" s="46" t="s">
        <v>67</v>
      </c>
      <c r="P12" s="50"/>
      <c r="Q12" s="47"/>
      <c r="R12" s="4" t="s">
        <v>68</v>
      </c>
    </row>
    <row r="13" spans="1:18" x14ac:dyDescent="0.2">
      <c r="B13" s="51" t="s">
        <v>56</v>
      </c>
      <c r="C13" s="17">
        <v>1</v>
      </c>
      <c r="D13" s="19" t="s">
        <v>15</v>
      </c>
      <c r="E13" s="20">
        <v>3300000</v>
      </c>
      <c r="F13" s="4" t="s">
        <v>69</v>
      </c>
      <c r="H13" s="51" t="s">
        <v>56</v>
      </c>
      <c r="I13" s="17">
        <v>1</v>
      </c>
      <c r="J13" s="19" t="s">
        <v>15</v>
      </c>
      <c r="K13" s="20">
        <v>3300000</v>
      </c>
      <c r="L13" s="4" t="s">
        <v>70</v>
      </c>
      <c r="N13" s="51" t="s">
        <v>56</v>
      </c>
      <c r="O13" s="17">
        <v>1</v>
      </c>
      <c r="P13" s="19" t="s">
        <v>15</v>
      </c>
      <c r="Q13" s="20">
        <v>3300000</v>
      </c>
      <c r="R13" s="4" t="s">
        <v>71</v>
      </c>
    </row>
    <row r="14" spans="1:18" x14ac:dyDescent="0.2">
      <c r="B14" s="52"/>
      <c r="C14" s="17">
        <v>3300001</v>
      </c>
      <c r="D14" s="19" t="s">
        <v>15</v>
      </c>
      <c r="E14" s="20">
        <v>4100000</v>
      </c>
      <c r="F14" s="4" t="s">
        <v>72</v>
      </c>
      <c r="H14" s="52"/>
      <c r="I14" s="17">
        <v>3300001</v>
      </c>
      <c r="J14" s="19" t="s">
        <v>15</v>
      </c>
      <c r="K14" s="20">
        <v>4100000</v>
      </c>
      <c r="L14" s="4" t="s">
        <v>73</v>
      </c>
      <c r="N14" s="52"/>
      <c r="O14" s="17">
        <v>3300001</v>
      </c>
      <c r="P14" s="19" t="s">
        <v>15</v>
      </c>
      <c r="Q14" s="20">
        <v>4100000</v>
      </c>
      <c r="R14" s="4" t="s">
        <v>74</v>
      </c>
    </row>
    <row r="15" spans="1:18" x14ac:dyDescent="0.2">
      <c r="B15" s="52"/>
      <c r="C15" s="17">
        <v>4100001</v>
      </c>
      <c r="D15" s="19" t="s">
        <v>15</v>
      </c>
      <c r="E15" s="20">
        <v>7700000</v>
      </c>
      <c r="F15" s="4" t="s">
        <v>75</v>
      </c>
      <c r="H15" s="52"/>
      <c r="I15" s="17">
        <v>4100001</v>
      </c>
      <c r="J15" s="19" t="s">
        <v>15</v>
      </c>
      <c r="K15" s="20">
        <v>7700000</v>
      </c>
      <c r="L15" s="4" t="s">
        <v>76</v>
      </c>
      <c r="N15" s="52"/>
      <c r="O15" s="17">
        <v>4100001</v>
      </c>
      <c r="P15" s="19" t="s">
        <v>15</v>
      </c>
      <c r="Q15" s="20">
        <v>7700000</v>
      </c>
      <c r="R15" s="4" t="s">
        <v>77</v>
      </c>
    </row>
    <row r="16" spans="1:18" x14ac:dyDescent="0.2">
      <c r="B16" s="52"/>
      <c r="C16" s="17">
        <v>7700001</v>
      </c>
      <c r="D16" s="19" t="s">
        <v>15</v>
      </c>
      <c r="E16" s="20">
        <v>10000000</v>
      </c>
      <c r="F16" s="4" t="s">
        <v>78</v>
      </c>
      <c r="H16" s="52"/>
      <c r="I16" s="17">
        <v>7700001</v>
      </c>
      <c r="J16" s="19" t="s">
        <v>15</v>
      </c>
      <c r="K16" s="20">
        <v>10000000</v>
      </c>
      <c r="L16" s="4" t="s">
        <v>79</v>
      </c>
      <c r="N16" s="52"/>
      <c r="O16" s="17">
        <v>7700001</v>
      </c>
      <c r="P16" s="19" t="s">
        <v>15</v>
      </c>
      <c r="Q16" s="20">
        <v>10000000</v>
      </c>
      <c r="R16" s="4" t="s">
        <v>80</v>
      </c>
    </row>
    <row r="17" spans="2:18" x14ac:dyDescent="0.2">
      <c r="B17" s="53"/>
      <c r="C17" s="17">
        <v>10000001</v>
      </c>
      <c r="D17" s="19" t="s">
        <v>15</v>
      </c>
      <c r="E17" s="20"/>
      <c r="F17" s="4" t="s">
        <v>81</v>
      </c>
      <c r="H17" s="53"/>
      <c r="I17" s="17">
        <v>10000001</v>
      </c>
      <c r="J17" s="19" t="s">
        <v>15</v>
      </c>
      <c r="K17" s="20"/>
      <c r="L17" s="4" t="s">
        <v>82</v>
      </c>
      <c r="N17" s="53"/>
      <c r="O17" s="17">
        <v>10000001</v>
      </c>
      <c r="P17" s="19" t="s">
        <v>15</v>
      </c>
      <c r="Q17" s="20"/>
      <c r="R17" s="4" t="s">
        <v>83</v>
      </c>
    </row>
    <row r="18" spans="2:18" x14ac:dyDescent="0.2">
      <c r="B18" s="54" t="s">
        <v>62</v>
      </c>
      <c r="C18" s="17">
        <v>1</v>
      </c>
      <c r="D18" s="19" t="s">
        <v>15</v>
      </c>
      <c r="E18" s="20">
        <v>1300000</v>
      </c>
      <c r="F18" s="4" t="s">
        <v>84</v>
      </c>
      <c r="H18" s="54" t="s">
        <v>62</v>
      </c>
      <c r="I18" s="17">
        <v>1</v>
      </c>
      <c r="J18" s="19" t="s">
        <v>15</v>
      </c>
      <c r="K18" s="20">
        <v>1300000</v>
      </c>
      <c r="L18" s="4" t="s">
        <v>85</v>
      </c>
      <c r="N18" s="54" t="s">
        <v>62</v>
      </c>
      <c r="O18" s="17">
        <v>1</v>
      </c>
      <c r="P18" s="19" t="s">
        <v>15</v>
      </c>
      <c r="Q18" s="20">
        <v>1300000</v>
      </c>
      <c r="R18" s="4" t="s">
        <v>86</v>
      </c>
    </row>
    <row r="19" spans="2:18" x14ac:dyDescent="0.2">
      <c r="B19" s="55"/>
      <c r="C19" s="17">
        <v>1300001</v>
      </c>
      <c r="D19" s="19" t="s">
        <v>15</v>
      </c>
      <c r="E19" s="20">
        <v>4100000</v>
      </c>
      <c r="F19" s="4" t="s">
        <v>72</v>
      </c>
      <c r="H19" s="55"/>
      <c r="I19" s="17">
        <v>1300001</v>
      </c>
      <c r="J19" s="19" t="s">
        <v>15</v>
      </c>
      <c r="K19" s="20">
        <v>4100000</v>
      </c>
      <c r="L19" s="4" t="s">
        <v>73</v>
      </c>
      <c r="N19" s="55"/>
      <c r="O19" s="17">
        <v>1300001</v>
      </c>
      <c r="P19" s="19" t="s">
        <v>15</v>
      </c>
      <c r="Q19" s="20">
        <v>4100000</v>
      </c>
      <c r="R19" s="4" t="s">
        <v>74</v>
      </c>
    </row>
    <row r="20" spans="2:18" x14ac:dyDescent="0.2">
      <c r="B20" s="55"/>
      <c r="C20" s="17">
        <v>4100001</v>
      </c>
      <c r="D20" s="19" t="s">
        <v>14</v>
      </c>
      <c r="E20" s="20">
        <v>7700000</v>
      </c>
      <c r="F20" s="4" t="s">
        <v>75</v>
      </c>
      <c r="H20" s="55"/>
      <c r="I20" s="17">
        <v>4100001</v>
      </c>
      <c r="J20" s="19" t="s">
        <v>14</v>
      </c>
      <c r="K20" s="20">
        <v>7700000</v>
      </c>
      <c r="L20" s="4" t="s">
        <v>76</v>
      </c>
      <c r="N20" s="55"/>
      <c r="O20" s="17">
        <v>4100001</v>
      </c>
      <c r="P20" s="19" t="s">
        <v>14</v>
      </c>
      <c r="Q20" s="20">
        <v>7700000</v>
      </c>
      <c r="R20" s="4" t="s">
        <v>77</v>
      </c>
    </row>
    <row r="21" spans="2:18" x14ac:dyDescent="0.2">
      <c r="B21" s="55"/>
      <c r="C21" s="17">
        <v>7700001</v>
      </c>
      <c r="D21" s="19" t="s">
        <v>14</v>
      </c>
      <c r="E21" s="20">
        <v>10000000</v>
      </c>
      <c r="F21" s="4" t="s">
        <v>78</v>
      </c>
      <c r="H21" s="55"/>
      <c r="I21" s="17">
        <v>7700001</v>
      </c>
      <c r="J21" s="19" t="s">
        <v>14</v>
      </c>
      <c r="K21" s="20">
        <v>10000000</v>
      </c>
      <c r="L21" s="4" t="s">
        <v>79</v>
      </c>
      <c r="N21" s="55"/>
      <c r="O21" s="17">
        <v>7700001</v>
      </c>
      <c r="P21" s="19" t="s">
        <v>14</v>
      </c>
      <c r="Q21" s="20">
        <v>10000000</v>
      </c>
      <c r="R21" s="4" t="s">
        <v>80</v>
      </c>
    </row>
    <row r="22" spans="2:18" x14ac:dyDescent="0.2">
      <c r="B22" s="56"/>
      <c r="C22" s="17">
        <v>10000001</v>
      </c>
      <c r="D22" s="19" t="s">
        <v>15</v>
      </c>
      <c r="E22" s="20"/>
      <c r="F22" s="4" t="s">
        <v>81</v>
      </c>
      <c r="H22" s="56"/>
      <c r="I22" s="17">
        <v>10000001</v>
      </c>
      <c r="J22" s="19" t="s">
        <v>15</v>
      </c>
      <c r="K22" s="20"/>
      <c r="L22" s="4" t="s">
        <v>82</v>
      </c>
      <c r="N22" s="56"/>
      <c r="O22" s="17">
        <v>10000001</v>
      </c>
      <c r="P22" s="19" t="s">
        <v>15</v>
      </c>
      <c r="Q22" s="20"/>
      <c r="R22" s="4" t="s">
        <v>83</v>
      </c>
    </row>
    <row r="24" spans="2:18" x14ac:dyDescent="0.2">
      <c r="B24" t="s">
        <v>87</v>
      </c>
    </row>
    <row r="25" spans="2:18" x14ac:dyDescent="0.2">
      <c r="B25" t="s">
        <v>88</v>
      </c>
    </row>
    <row r="26" spans="2:18" x14ac:dyDescent="0.2">
      <c r="B26" t="s">
        <v>89</v>
      </c>
    </row>
    <row r="28" spans="2:18" x14ac:dyDescent="0.2">
      <c r="B28" t="s">
        <v>90</v>
      </c>
    </row>
    <row r="30" spans="2:18" x14ac:dyDescent="0.2">
      <c r="C30" t="str">
        <f>J6</f>
        <v>1,000万円以下</v>
      </c>
      <c r="F30" t="str">
        <f>J7</f>
        <v>1,000万円超2,000万円以下</v>
      </c>
      <c r="H30" t="str">
        <f>J8</f>
        <v>2,000万円超</v>
      </c>
    </row>
    <row r="31" spans="2:18" x14ac:dyDescent="0.2">
      <c r="B31" t="s">
        <v>56</v>
      </c>
      <c r="C31">
        <f>IF(AND($F$6=$H$6,$F$7=$J$6,$F$5&gt;=C13,$F$5&lt;=E13),1100000,0)</f>
        <v>0</v>
      </c>
      <c r="F31">
        <f>IF(AND($F$6=$H$6,$F$7=$J$7,$F$5&gt;=I13,$F$5&lt;=K13),1000000,0)</f>
        <v>0</v>
      </c>
      <c r="H31">
        <f>IF(AND($F$6=$H$6,$F$7=$J$8,$F$5&gt;=O13,$F$5&lt;=Q13),900000,0)</f>
        <v>0</v>
      </c>
    </row>
    <row r="32" spans="2:18" x14ac:dyDescent="0.2">
      <c r="C32">
        <f>IF(AND($F$6=$H$6,$F$7=$J$6,$F$5&gt;=C14,$F$5&lt;=E14),ROUNDUP($F$5*0.25+275000,0),0)</f>
        <v>0</v>
      </c>
      <c r="F32">
        <f>IF(AND($F$6=$H$6,$F$7=$J$7,$F$5&gt;=I14,$F$5&lt;=K14),ROUNDUP($F$5*0.25+175000,0),0)</f>
        <v>0</v>
      </c>
      <c r="H32">
        <f>IF(AND($F$6=$H$6,$F$7=$J$8,$F$5&gt;=O14,$F$5&lt;=Q14),ROUNDUP($F$5*0.25+75000,0),0)</f>
        <v>0</v>
      </c>
    </row>
    <row r="33" spans="2:10" x14ac:dyDescent="0.2">
      <c r="C33">
        <f>IF(AND($F$6=$H$6,$F$7=$J$6,$F$5&gt;=C15,$F$5&lt;=E15),ROUNDUP($F$5*0.15+685000,0),0)</f>
        <v>0</v>
      </c>
      <c r="F33">
        <f>IF(AND($F$6=$H$6,$F$7=$J$7,$F$5&gt;=I15,$F$5&lt;=K15),ROUNDUP($F$5*0.15+585000,0),0)</f>
        <v>0</v>
      </c>
      <c r="H33">
        <f>IF(AND($F$6=$H$6,$F$7=$J$8,$F$5&gt;=O15,$F$5&lt;=Q15),ROUNDUP($F$5*0.15+485000,0),0)</f>
        <v>0</v>
      </c>
    </row>
    <row r="34" spans="2:10" x14ac:dyDescent="0.2">
      <c r="C34">
        <f>IF(AND($F$6=$H$6,$F$7=$J$6,$F$5&gt;=C16,$F$5&lt;=E16),ROUNDUP($F$5*0.05+1455000,0),0)</f>
        <v>0</v>
      </c>
      <c r="F34">
        <f>IF(AND($F$6=$H$6,$F$7=$J$7,$F$5&gt;=I16,$F$5&lt;=K16),ROUNDUP($F$5*0.05+1355000,0),0)</f>
        <v>0</v>
      </c>
      <c r="H34">
        <f>IF(AND($F$6=$H$6,$F$7=$J$8,$F$5&gt;=O16,$F$5&lt;=Q16),ROUNDUP($F$5*0.05+1255000,0),0)</f>
        <v>0</v>
      </c>
    </row>
    <row r="35" spans="2:10" x14ac:dyDescent="0.2">
      <c r="C35">
        <f>IF(AND($F$6=$H$6,$F$7=$J$6,$F$5&gt;=C17),1955000,0)</f>
        <v>0</v>
      </c>
      <c r="F35">
        <f>IF(AND($F$6=$H$6,$F$7=$J$7,$F$5&gt;=I17),1855000,0)</f>
        <v>0</v>
      </c>
      <c r="H35">
        <f>IF(AND($F$6=$H$6,$F$7=$J$8,$F$5&gt;=O17),1755000,0)</f>
        <v>0</v>
      </c>
    </row>
    <row r="36" spans="2:10" x14ac:dyDescent="0.2">
      <c r="B36" t="s">
        <v>62</v>
      </c>
      <c r="C36">
        <f>IF(AND($F$6=$H$7,$F$7=$J$6,$F$5&gt;=C18,$F$5&lt;=E18),600000,0)</f>
        <v>0</v>
      </c>
      <c r="F36">
        <f>IF(AND($F$6=$H$7,$F$7=$J$7,$F$5&gt;=I18,$F$5&lt;=K18),500000,0)</f>
        <v>0</v>
      </c>
      <c r="H36">
        <f>IF(AND($F$6=$H$7,$F$7=$J$8,$F$5&gt;=O18,$F$5&lt;=Q18),400000,0)</f>
        <v>0</v>
      </c>
    </row>
    <row r="37" spans="2:10" x14ac:dyDescent="0.2">
      <c r="C37">
        <f>IF(AND($F$6=$H$7,$F$7=$J$6,$F$5&gt;=C19,$F$5&lt;=E19),ROUNDUP($F$5*0.25+275000,0),0)</f>
        <v>0</v>
      </c>
      <c r="F37">
        <f>IF(AND($F$6=$H$7,$F$7=$J$7,$F$5&gt;=I19,$F$5&lt;=K19),ROUNDUP($F$5*0.25+175000,0),0)</f>
        <v>0</v>
      </c>
      <c r="H37">
        <f>IF(AND($F$6=$H$7,$F$7=$J$8,$F$5&gt;=O19,$F$5&lt;=Q19),ROUNDUP($F$5*0.25+75000,0),0)</f>
        <v>0</v>
      </c>
    </row>
    <row r="38" spans="2:10" x14ac:dyDescent="0.2">
      <c r="C38">
        <f>IF(AND($F$6=$H$7,$F$7=$J$6,$F$5&gt;=C20,$F$5&lt;=E20),ROUNDUP($F$5*0.15+685000,0),0)</f>
        <v>0</v>
      </c>
      <c r="F38">
        <f>IF(AND($F$6=$H$7,$F$7=$J$7,$F$5&gt;=I20,$F$5&lt;=K20),ROUNDUP($F$5*0.15+585000,0),0)</f>
        <v>0</v>
      </c>
      <c r="H38">
        <f>IF(AND($F$6=$H$7,$F$7=$J$8,$F$5&gt;=O20,$F$5&lt;=Q20),ROUNDUP($F$5*0.15+485000,0),0)</f>
        <v>0</v>
      </c>
    </row>
    <row r="39" spans="2:10" x14ac:dyDescent="0.2">
      <c r="C39">
        <f>IF(AND($F$6=$H$7,$F$7=$J$6,$F$5&gt;=C21,$F$5&lt;=E21),ROUNDUP($F$5*0.05+1455000,0),0)</f>
        <v>0</v>
      </c>
      <c r="F39">
        <f>IF(AND($F$6=$H$7,$F$7=$J$7,$F$5&gt;=I21,$F$5&lt;=K21),ROUNDUP($F$5*0.05+1355000,0),0)</f>
        <v>0</v>
      </c>
      <c r="H39">
        <f>IF(AND($F$6=$H$7,$F$7=$J$8,$F$5&gt;=O21,$F$5&lt;=Q21),ROUNDUP($F$5*0.05+1255000,0),0)</f>
        <v>0</v>
      </c>
    </row>
    <row r="40" spans="2:10" x14ac:dyDescent="0.2">
      <c r="C40">
        <f>IF(AND($F$6=$H$7,$F$7=$J$6,$F$5&gt;=C22),1955000,0)</f>
        <v>0</v>
      </c>
      <c r="F40">
        <f>IF(AND($F$6=$H$7,$F$7=$J$7,$F$5&gt;=I22),1855000,0)</f>
        <v>0</v>
      </c>
      <c r="H40">
        <f>IF(AND($F$6=$H$7,$F$7=$J$8,$F$5&gt;=O22),1755000,0)</f>
        <v>0</v>
      </c>
    </row>
    <row r="42" spans="2:10" x14ac:dyDescent="0.2">
      <c r="B42" t="s">
        <v>58</v>
      </c>
      <c r="C42">
        <f>SUM(C31:C41)</f>
        <v>0</v>
      </c>
      <c r="F42">
        <f>SUM(F31:F41)</f>
        <v>0</v>
      </c>
      <c r="H42">
        <f>SUM(H31:H41)</f>
        <v>0</v>
      </c>
      <c r="J42">
        <f>SUM(C42:H42)</f>
        <v>0</v>
      </c>
    </row>
    <row r="43" spans="2:10" ht="39.6" x14ac:dyDescent="0.2">
      <c r="B43" s="21" t="s">
        <v>91</v>
      </c>
      <c r="C43">
        <f>MAX($F$5-J42,0)</f>
        <v>0</v>
      </c>
    </row>
  </sheetData>
  <mergeCells count="9">
    <mergeCell ref="O12:Q12"/>
    <mergeCell ref="B13:B17"/>
    <mergeCell ref="H13:H17"/>
    <mergeCell ref="N13:N17"/>
    <mergeCell ref="B18:B22"/>
    <mergeCell ref="H18:H22"/>
    <mergeCell ref="N18:N22"/>
    <mergeCell ref="C12:E12"/>
    <mergeCell ref="I12:K1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vt:i4>
      </vt:variant>
    </vt:vector>
  </HeadingPairs>
  <TitlesOfParts>
    <vt:vector size="4" baseType="lpstr">
      <vt:lpstr>配偶者控除・公的年金雑所得　算出表</vt:lpstr>
      <vt:lpstr>計算シート（配偶者控除）</vt:lpstr>
      <vt:lpstr>計算シート（年金本人）</vt:lpstr>
      <vt:lpstr>計算シート（年金配偶者）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まいぼた</dc:creator>
  <cp:lastPrinted>2021-11-15T12:57:22Z</cp:lastPrinted>
  <dcterms:created xsi:type="dcterms:W3CDTF">2018-10-03T05:16:21Z</dcterms:created>
  <dcterms:modified xsi:type="dcterms:W3CDTF">2021-11-15T12:57:45Z</dcterms:modified>
</cp:coreProperties>
</file>