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defaultThemeVersion="124226"/>
  <mc:AlternateContent xmlns:mc="http://schemas.openxmlformats.org/markup-compatibility/2006">
    <mc:Choice Requires="x15">
      <x15ac:absPath xmlns:x15ac="http://schemas.microsoft.com/office/spreadsheetml/2010/11/ac" url="C:\Users\WS101243\Desktop\"/>
    </mc:Choice>
  </mc:AlternateContent>
  <xr:revisionPtr revIDLastSave="0" documentId="13_ncr:1_{0A4B11E8-8D89-4095-A1E2-39F4F7B2FFFD}" xr6:coauthVersionLast="47" xr6:coauthVersionMax="47" xr10:uidLastSave="{00000000-0000-0000-0000-000000000000}"/>
  <bookViews>
    <workbookView xWindow="-120" yWindow="-120" windowWidth="20730" windowHeight="11160" xr2:uid="{00000000-000D-0000-FFFF-FFFF00000000}"/>
  </bookViews>
  <sheets>
    <sheet name="所得金額調整控除額算出表" sheetId="1" r:id="rId1"/>
    <sheet name="計算シート１" sheetId="3" r:id="rId2"/>
    <sheet name="計算シート２" sheetId="2" r:id="rId3"/>
  </sheets>
  <calcPr calcId="181029"/>
</workbook>
</file>

<file path=xl/calcChain.xml><?xml version="1.0" encoding="utf-8"?>
<calcChain xmlns="http://schemas.openxmlformats.org/spreadsheetml/2006/main">
  <c r="E5" i="3" l="1"/>
  <c r="C23" i="3" l="1"/>
  <c r="C19" i="3"/>
  <c r="C22" i="3"/>
  <c r="C18" i="3"/>
  <c r="C20" i="3"/>
  <c r="C21" i="3"/>
  <c r="C34" i="3" l="1"/>
  <c r="F15" i="1"/>
  <c r="F7" i="2"/>
  <c r="N11" i="2" l="1"/>
  <c r="H11" i="2"/>
  <c r="B11" i="2"/>
  <c r="H30" i="2"/>
  <c r="F30" i="2"/>
  <c r="C30" i="2"/>
  <c r="F6" i="2" l="1"/>
  <c r="F5" i="2"/>
  <c r="H34" i="2" l="1"/>
  <c r="H31" i="2"/>
  <c r="H39" i="2"/>
  <c r="H35" i="2"/>
  <c r="F37" i="2"/>
  <c r="F33" i="2"/>
  <c r="C39" i="2"/>
  <c r="C35" i="2"/>
  <c r="C32" i="2"/>
  <c r="H38" i="2"/>
  <c r="F40" i="2"/>
  <c r="F36" i="2"/>
  <c r="F32" i="2"/>
  <c r="C38" i="2"/>
  <c r="C34" i="2"/>
  <c r="H37" i="2"/>
  <c r="H33" i="2"/>
  <c r="F39" i="2"/>
  <c r="F35" i="2"/>
  <c r="F31" i="2"/>
  <c r="C37" i="2"/>
  <c r="C33" i="2"/>
  <c r="H40" i="2"/>
  <c r="H36" i="2"/>
  <c r="H32" i="2"/>
  <c r="F38" i="2"/>
  <c r="F34" i="2"/>
  <c r="C40" i="2"/>
  <c r="C36" i="2"/>
  <c r="C31" i="2"/>
  <c r="F42" i="2" l="1"/>
  <c r="H42" i="2"/>
  <c r="C42" i="2"/>
  <c r="J42" i="2" l="1"/>
  <c r="C43" i="2" s="1"/>
  <c r="F16" i="1" s="1"/>
  <c r="B49" i="2" s="1"/>
  <c r="F17" i="1" s="1"/>
</calcChain>
</file>

<file path=xl/sharedStrings.xml><?xml version="1.0" encoding="utf-8"?>
<sst xmlns="http://schemas.openxmlformats.org/spreadsheetml/2006/main" count="138" uniqueCount="72">
  <si>
    <t>円</t>
    <rPh sb="0" eb="1">
      <t>エン</t>
    </rPh>
    <phoneticPr fontId="1"/>
  </si>
  <si>
    <t>～</t>
  </si>
  <si>
    <t>年齢（翌年１月１日現在の年齢）</t>
    <rPh sb="0" eb="2">
      <t>ネンレイ</t>
    </rPh>
    <phoneticPr fontId="1"/>
  </si>
  <si>
    <t>65歳以上</t>
    <rPh sb="2" eb="3">
      <t>サイ</t>
    </rPh>
    <rPh sb="3" eb="5">
      <t>イジョウ</t>
    </rPh>
    <phoneticPr fontId="1"/>
  </si>
  <si>
    <t>64歳以下</t>
    <rPh sb="2" eb="3">
      <t>サイ</t>
    </rPh>
    <rPh sb="3" eb="5">
      <t>イカ</t>
    </rPh>
    <phoneticPr fontId="1"/>
  </si>
  <si>
    <t>その年中の公的年金等の収入（見積額）</t>
    <rPh sb="2" eb="3">
      <t>トシ</t>
    </rPh>
    <rPh sb="3" eb="4">
      <t>ジュウ</t>
    </rPh>
    <rPh sb="5" eb="7">
      <t>コウテキ</t>
    </rPh>
    <rPh sb="7" eb="9">
      <t>ネンキン</t>
    </rPh>
    <rPh sb="9" eb="10">
      <t>トウ</t>
    </rPh>
    <rPh sb="11" eb="13">
      <t>シュウニュウ</t>
    </rPh>
    <rPh sb="14" eb="16">
      <t>ミツモ</t>
    </rPh>
    <rPh sb="16" eb="17">
      <t>ガク</t>
    </rPh>
    <phoneticPr fontId="1"/>
  </si>
  <si>
    <t>公的年金等控除額</t>
    <rPh sb="0" eb="2">
      <t>コウテキ</t>
    </rPh>
    <rPh sb="2" eb="4">
      <t>ネンキン</t>
    </rPh>
    <rPh sb="4" eb="5">
      <t>トウ</t>
    </rPh>
    <rPh sb="5" eb="7">
      <t>コウジョ</t>
    </rPh>
    <rPh sb="7" eb="8">
      <t>ガク</t>
    </rPh>
    <phoneticPr fontId="1"/>
  </si>
  <si>
    <t>公的年金等に係る雑所得の金額</t>
    <rPh sb="0" eb="2">
      <t>コウテキ</t>
    </rPh>
    <rPh sb="2" eb="4">
      <t>ネンキン</t>
    </rPh>
    <rPh sb="4" eb="5">
      <t>トウ</t>
    </rPh>
    <rPh sb="6" eb="7">
      <t>カカ</t>
    </rPh>
    <rPh sb="8" eb="11">
      <t>ザツショトク</t>
    </rPh>
    <rPh sb="12" eb="14">
      <t>キンガク</t>
    </rPh>
    <phoneticPr fontId="1"/>
  </si>
  <si>
    <t>円</t>
    <rPh sb="0" eb="1">
      <t>エン</t>
    </rPh>
    <phoneticPr fontId="1"/>
  </si>
  <si>
    <t>受給者の区分</t>
    <rPh sb="0" eb="3">
      <t>ジュキュウシャ</t>
    </rPh>
    <rPh sb="4" eb="6">
      <t>クブン</t>
    </rPh>
    <phoneticPr fontId="1"/>
  </si>
  <si>
    <t>控除額</t>
    <rPh sb="0" eb="2">
      <t>コウジョ</t>
    </rPh>
    <rPh sb="2" eb="3">
      <t>ガク</t>
    </rPh>
    <phoneticPr fontId="1"/>
  </si>
  <si>
    <t>65歳以上</t>
    <rPh sb="2" eb="3">
      <t>サイ</t>
    </rPh>
    <rPh sb="3" eb="5">
      <t>イジョウ</t>
    </rPh>
    <phoneticPr fontId="1"/>
  </si>
  <si>
    <t>64歳以下</t>
    <rPh sb="2" eb="3">
      <t>サイ</t>
    </rPh>
    <rPh sb="3" eb="5">
      <t>イカ</t>
    </rPh>
    <phoneticPr fontId="1"/>
  </si>
  <si>
    <t>所得や恩給（一時恩給を除きます。）、国民年金、厚生年金、共済年金などの公的年金等は、雑所得となります。</t>
  </si>
  <si>
    <t>　（公的年金等控除額）</t>
  </si>
  <si>
    <t>受給者の区分その年中の
公的年金等の収入金額（A）</t>
    <phoneticPr fontId="1"/>
  </si>
  <si>
    <t>公的年金等に係る雑所得：収入金額から公的年金等控除額を控除した残額</t>
    <phoneticPr fontId="1"/>
  </si>
  <si>
    <t>　原稿料や印税、講演料、放送出演料、貸金の利子、生命保険契約等に基づく年金など他のいずれの所得にも該当しない</t>
    <phoneticPr fontId="1"/>
  </si>
  <si>
    <t>【雑所得】</t>
    <phoneticPr fontId="1"/>
  </si>
  <si>
    <t>～</t>
    <phoneticPr fontId="1"/>
  </si>
  <si>
    <t>公的年金等に
係る雑所得の金額</t>
    <rPh sb="0" eb="2">
      <t>コウテキ</t>
    </rPh>
    <rPh sb="2" eb="4">
      <t>ネンキン</t>
    </rPh>
    <rPh sb="4" eb="5">
      <t>トウ</t>
    </rPh>
    <rPh sb="7" eb="8">
      <t>カカ</t>
    </rPh>
    <rPh sb="9" eb="12">
      <t>ザツショトク</t>
    </rPh>
    <rPh sb="13" eb="15">
      <t>キンガク</t>
    </rPh>
    <phoneticPr fontId="1"/>
  </si>
  <si>
    <t>　　　　　　入力箇所</t>
    <rPh sb="6" eb="8">
      <t>ニュウリョク</t>
    </rPh>
    <rPh sb="8" eb="10">
      <t>カショ</t>
    </rPh>
    <phoneticPr fontId="1"/>
  </si>
  <si>
    <t>※公的年金等に、障害年金、遺族年金は含みません。</t>
    <rPh sb="1" eb="3">
      <t>コウテキ</t>
    </rPh>
    <rPh sb="3" eb="5">
      <t>ネンキン</t>
    </rPh>
    <rPh sb="5" eb="6">
      <t>トウ</t>
    </rPh>
    <rPh sb="8" eb="10">
      <t>ショウガイ</t>
    </rPh>
    <rPh sb="10" eb="12">
      <t>ネンキン</t>
    </rPh>
    <rPh sb="13" eb="15">
      <t>イゾク</t>
    </rPh>
    <rPh sb="15" eb="17">
      <t>ネンキン</t>
    </rPh>
    <rPh sb="18" eb="19">
      <t>フク</t>
    </rPh>
    <phoneticPr fontId="1"/>
  </si>
  <si>
    <t>公的年金等に係る雑所得以外の
所得に係る合計所得金額</t>
    <rPh sb="0" eb="2">
      <t>コウテキ</t>
    </rPh>
    <rPh sb="2" eb="4">
      <t>ネンキン</t>
    </rPh>
    <rPh sb="4" eb="5">
      <t>トウ</t>
    </rPh>
    <rPh sb="6" eb="7">
      <t>カカ</t>
    </rPh>
    <rPh sb="8" eb="11">
      <t>ザッショトク</t>
    </rPh>
    <rPh sb="11" eb="13">
      <t>イガイ</t>
    </rPh>
    <rPh sb="15" eb="17">
      <t>ショトク</t>
    </rPh>
    <rPh sb="18" eb="19">
      <t>カカ</t>
    </rPh>
    <rPh sb="20" eb="22">
      <t>ゴウケイ</t>
    </rPh>
    <rPh sb="22" eb="24">
      <t>ショトク</t>
    </rPh>
    <rPh sb="24" eb="26">
      <t>キンガク</t>
    </rPh>
    <phoneticPr fontId="1"/>
  </si>
  <si>
    <t>1,000万円以下</t>
    <rPh sb="5" eb="7">
      <t>マンエン</t>
    </rPh>
    <rPh sb="7" eb="9">
      <t>イカ</t>
    </rPh>
    <phoneticPr fontId="1"/>
  </si>
  <si>
    <t>1,000万円超2,000万円以下</t>
    <rPh sb="5" eb="7">
      <t>マンエン</t>
    </rPh>
    <rPh sb="7" eb="8">
      <t>チョウ</t>
    </rPh>
    <rPh sb="13" eb="15">
      <t>マンエン</t>
    </rPh>
    <rPh sb="15" eb="17">
      <t>イカ</t>
    </rPh>
    <phoneticPr fontId="1"/>
  </si>
  <si>
    <t>2,000万円超</t>
    <rPh sb="5" eb="7">
      <t>マンエン</t>
    </rPh>
    <rPh sb="7" eb="8">
      <t>チョウ</t>
    </rPh>
    <phoneticPr fontId="1"/>
  </si>
  <si>
    <t>110万円</t>
    <phoneticPr fontId="1"/>
  </si>
  <si>
    <t>195万5,000円</t>
    <rPh sb="9" eb="10">
      <t>エン</t>
    </rPh>
    <phoneticPr fontId="1"/>
  </si>
  <si>
    <t>（A）×25％＋ 27万5,000円</t>
    <phoneticPr fontId="1"/>
  </si>
  <si>
    <t>（A）×15％＋ 68万5,000円</t>
    <phoneticPr fontId="1"/>
  </si>
  <si>
    <t>（A）× 5％＋145万5,000円</t>
    <phoneticPr fontId="1"/>
  </si>
  <si>
    <t>60万円</t>
    <phoneticPr fontId="1"/>
  </si>
  <si>
    <t>100万円</t>
    <phoneticPr fontId="1"/>
  </si>
  <si>
    <t>（A）×25％＋ 17万5,000円</t>
    <phoneticPr fontId="1"/>
  </si>
  <si>
    <t>（A）×15％＋ 58万5,000円</t>
    <phoneticPr fontId="1"/>
  </si>
  <si>
    <t>（A）× 5％＋135万5,000円</t>
    <phoneticPr fontId="1"/>
  </si>
  <si>
    <t>185万5,000円</t>
    <rPh sb="9" eb="10">
      <t>エン</t>
    </rPh>
    <phoneticPr fontId="1"/>
  </si>
  <si>
    <t>50万円</t>
    <phoneticPr fontId="1"/>
  </si>
  <si>
    <t>90万円</t>
    <phoneticPr fontId="1"/>
  </si>
  <si>
    <t>（A）×25％＋ 7万5,000円</t>
    <phoneticPr fontId="1"/>
  </si>
  <si>
    <t>（A）×15％＋ 48万5,000円</t>
    <phoneticPr fontId="1"/>
  </si>
  <si>
    <t>（A）× 5％＋125万5,000円</t>
    <phoneticPr fontId="1"/>
  </si>
  <si>
    <t>175万5,000円</t>
    <rPh sb="9" eb="10">
      <t>エン</t>
    </rPh>
    <phoneticPr fontId="1"/>
  </si>
  <si>
    <t>40万円</t>
    <phoneticPr fontId="1"/>
  </si>
  <si>
    <t>公的年金等に係る雑所得以外の所得に係る合計所得金額</t>
    <phoneticPr fontId="1"/>
  </si>
  <si>
    <t>所得金額調整控除（年金等）額　算出表</t>
  </si>
  <si>
    <t>年間給与収入</t>
    <rPh sb="0" eb="2">
      <t>ネンカン</t>
    </rPh>
    <rPh sb="2" eb="4">
      <t>キュウヨ</t>
    </rPh>
    <rPh sb="4" eb="6">
      <t>シュウニュウ</t>
    </rPh>
    <phoneticPr fontId="1"/>
  </si>
  <si>
    <t>所得金額調整控除（年金等）額　算出表</t>
    <rPh sb="0" eb="2">
      <t>ショトク</t>
    </rPh>
    <rPh sb="2" eb="4">
      <t>キンガク</t>
    </rPh>
    <rPh sb="4" eb="6">
      <t>チョウセイ</t>
    </rPh>
    <rPh sb="6" eb="8">
      <t>コウジョ</t>
    </rPh>
    <rPh sb="9" eb="11">
      <t>ネンキン</t>
    </rPh>
    <rPh sb="11" eb="12">
      <t>トウ</t>
    </rPh>
    <rPh sb="13" eb="14">
      <t>ガク</t>
    </rPh>
    <rPh sb="15" eb="17">
      <t>サンシュツ</t>
    </rPh>
    <rPh sb="17" eb="18">
      <t>ヒョウ</t>
    </rPh>
    <phoneticPr fontId="1"/>
  </si>
  <si>
    <t>１．給与所得計算</t>
    <rPh sb="2" eb="4">
      <t>キュウヨ</t>
    </rPh>
    <rPh sb="4" eb="6">
      <t>ショトク</t>
    </rPh>
    <rPh sb="6" eb="8">
      <t>ケイサン</t>
    </rPh>
    <phoneticPr fontId="1"/>
  </si>
  <si>
    <t>給与等の収入金額（Ａ）</t>
    <rPh sb="0" eb="2">
      <t>キュウヨ</t>
    </rPh>
    <rPh sb="2" eb="3">
      <t>トウ</t>
    </rPh>
    <rPh sb="4" eb="6">
      <t>シュウニュウ</t>
    </rPh>
    <rPh sb="6" eb="8">
      <t>キンガク</t>
    </rPh>
    <phoneticPr fontId="1"/>
  </si>
  <si>
    <t>給与所得の金額（C）</t>
  </si>
  <si>
    <t>0円＝（C）</t>
  </si>
  <si>
    <t>①：（A）÷４（千円未満切捨て）＝（B）　⇒　②：（B）×2.8－80,000円＝（C）</t>
    <phoneticPr fontId="1"/>
  </si>
  <si>
    <t>①：（A）÷４（千円未満切捨て）＝（B）　⇒　②：（B）×3.2－440,000円＝（C）</t>
    <phoneticPr fontId="1"/>
  </si>
  <si>
    <t>（A）× 90％－1,100,000円＝（C）</t>
    <phoneticPr fontId="1"/>
  </si>
  <si>
    <t>（A）－1,950,000円＝（C）</t>
    <phoneticPr fontId="1"/>
  </si>
  <si>
    <t>合計</t>
    <rPh sb="0" eb="2">
      <t>ゴウケイ</t>
    </rPh>
    <phoneticPr fontId="1"/>
  </si>
  <si>
    <t>２．公的年金等に係る雑所得</t>
    <rPh sb="2" eb="4">
      <t>コウテキ</t>
    </rPh>
    <rPh sb="4" eb="6">
      <t>ネンキン</t>
    </rPh>
    <rPh sb="6" eb="7">
      <t>トウ</t>
    </rPh>
    <rPh sb="8" eb="9">
      <t>カカ</t>
    </rPh>
    <rPh sb="10" eb="13">
      <t>ザツショトク</t>
    </rPh>
    <phoneticPr fontId="1"/>
  </si>
  <si>
    <t>最大値</t>
    <rPh sb="0" eb="3">
      <t>サイダイチ</t>
    </rPh>
    <phoneticPr fontId="1"/>
  </si>
  <si>
    <t>１．入力項目</t>
    <rPh sb="2" eb="4">
      <t>ニュウリョク</t>
    </rPh>
    <rPh sb="4" eb="6">
      <t>コウモク</t>
    </rPh>
    <phoneticPr fontId="1"/>
  </si>
  <si>
    <t>円</t>
    <rPh sb="0" eb="1">
      <t>エン</t>
    </rPh>
    <phoneticPr fontId="1"/>
  </si>
  <si>
    <t>給与所得の金額</t>
    <rPh sb="0" eb="2">
      <t>キュウヨ</t>
    </rPh>
    <rPh sb="2" eb="4">
      <t>ショトク</t>
    </rPh>
    <rPh sb="5" eb="6">
      <t>キン</t>
    </rPh>
    <rPh sb="6" eb="7">
      <t>ガク</t>
    </rPh>
    <phoneticPr fontId="1"/>
  </si>
  <si>
    <t>所得金額調整控除額（年金等）算出表</t>
    <rPh sb="8" eb="9">
      <t>ガク</t>
    </rPh>
    <phoneticPr fontId="1"/>
  </si>
  <si>
    <t>２．所得金額調整控除額（年金等）と計算における所得額</t>
    <rPh sb="10" eb="11">
      <t>ガク</t>
    </rPh>
    <phoneticPr fontId="1"/>
  </si>
  <si>
    <t>３．所得金額調整控除額（年金等）</t>
    <rPh sb="10" eb="11">
      <t>ガク</t>
    </rPh>
    <phoneticPr fontId="1"/>
  </si>
  <si>
    <t>円</t>
    <rPh sb="0" eb="1">
      <t>エン</t>
    </rPh>
    <phoneticPr fontId="1"/>
  </si>
  <si>
    <t>公的年金等の収入</t>
    <rPh sb="0" eb="2">
      <t>コウテキ</t>
    </rPh>
    <rPh sb="2" eb="4">
      <t>ネンキン</t>
    </rPh>
    <rPh sb="4" eb="5">
      <t>トウ</t>
    </rPh>
    <rPh sb="6" eb="8">
      <t>シュウニュウ</t>
    </rPh>
    <phoneticPr fontId="1"/>
  </si>
  <si>
    <t>年齢（翌年１月１日現在）</t>
    <rPh sb="0" eb="2">
      <t>ネンレイ</t>
    </rPh>
    <phoneticPr fontId="1"/>
  </si>
  <si>
    <t>所得金額調整控除額</t>
    <rPh sb="8" eb="9">
      <t>ガク</t>
    </rPh>
    <phoneticPr fontId="1"/>
  </si>
  <si>
    <t>あなたの年間所得</t>
    <rPh sb="4" eb="6">
      <t>ネンカン</t>
    </rPh>
    <rPh sb="6" eb="8">
      <t>ショトク</t>
    </rPh>
    <phoneticPr fontId="1"/>
  </si>
  <si>
    <t>（A）－650,000円＝（C）</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</si>
</sst>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2"/>
      <color theme="1"/>
      <name val="ＭＳ Ｐゴシック"/>
      <family val="2"/>
      <charset val="128"/>
      <scheme val="minor"/>
    </font>
    <font>
      <sz val="11"/>
      <color theme="1"/>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s>
  <cellStyleXfs count="1">
    <xf numFmtId="0" fontId="0" fillId="0" borderId="0">
      <alignment vertical="center"/>
    </xf>
  </cellStyleXfs>
  <cellXfs count="35">
    <xf numFmtId="0" fontId="0" fillId="0" borderId="0" xfId="0">
      <alignment vertical="center"/>
    </xf>
    <xf numFmtId="0" fontId="2" fillId="0" borderId="0" xfId="0" applyFont="1">
      <alignment vertical="center"/>
    </xf>
    <xf numFmtId="0" fontId="0" fillId="0" borderId="0" xfId="0" applyAlignment="1">
      <alignment horizontal="center"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176" fontId="0" fillId="2" borderId="2" xfId="0" applyNumberFormat="1" applyFill="1" applyBorder="1">
      <alignment vertical="center"/>
    </xf>
    <xf numFmtId="176" fontId="0" fillId="0" borderId="2" xfId="0" applyNumberFormat="1" applyBorder="1">
      <alignment vertical="center"/>
    </xf>
    <xf numFmtId="0" fontId="3" fillId="0" borderId="0" xfId="0" applyFont="1">
      <alignment vertical="center"/>
    </xf>
    <xf numFmtId="176" fontId="0" fillId="0" borderId="5" xfId="0" applyNumberFormat="1" applyBorder="1">
      <alignment vertical="center"/>
    </xf>
    <xf numFmtId="176" fontId="0" fillId="0" borderId="6" xfId="0" applyNumberFormat="1" applyBorder="1" applyAlignment="1">
      <alignment horizontal="center" vertical="center"/>
    </xf>
    <xf numFmtId="176" fontId="0" fillId="0" borderId="7" xfId="0" applyNumberFormat="1" applyBorder="1">
      <alignment vertical="center"/>
    </xf>
    <xf numFmtId="0" fontId="0" fillId="0" borderId="0" xfId="0" applyAlignment="1">
      <alignment vertical="center" wrapText="1"/>
    </xf>
    <xf numFmtId="0" fontId="4" fillId="0" borderId="0" xfId="0" applyFont="1">
      <alignment vertical="center"/>
    </xf>
    <xf numFmtId="3" fontId="0" fillId="0" borderId="0" xfId="0" applyNumberFormat="1">
      <alignment vertical="center"/>
    </xf>
    <xf numFmtId="0" fontId="0" fillId="0" borderId="13" xfId="0" applyBorder="1">
      <alignment vertical="center"/>
    </xf>
    <xf numFmtId="0" fontId="0" fillId="0" borderId="14" xfId="0" applyBorder="1">
      <alignment vertical="center"/>
    </xf>
    <xf numFmtId="176" fontId="0" fillId="0" borderId="13" xfId="0" applyNumberFormat="1" applyBorder="1">
      <alignment vertical="center"/>
    </xf>
    <xf numFmtId="0" fontId="0" fillId="0" borderId="15" xfId="0" applyBorder="1">
      <alignment vertical="center"/>
    </xf>
    <xf numFmtId="176" fontId="0" fillId="2" borderId="5" xfId="0" applyNumberFormat="1" applyFill="1" applyBorder="1" applyAlignment="1">
      <alignment horizontal="center" vertical="center"/>
    </xf>
    <xf numFmtId="176" fontId="0" fillId="2" borderId="7" xfId="0" applyNumberFormat="1" applyFill="1" applyBorder="1" applyAlignment="1">
      <alignment horizontal="center" vertical="center"/>
    </xf>
    <xf numFmtId="0" fontId="0" fillId="0" borderId="1" xfId="0" applyBorder="1" applyAlignment="1">
      <alignment horizontal="left" vertical="center" wrapText="1"/>
    </xf>
    <xf numFmtId="176" fontId="0" fillId="2" borderId="1" xfId="0" applyNumberFormat="1" applyFill="1" applyBorder="1" applyAlignment="1">
      <alignment horizontal="center" vertical="center"/>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1381125</xdr:colOff>
      <xdr:row>2</xdr:row>
      <xdr:rowOff>9525</xdr:rowOff>
    </xdr:from>
    <xdr:to>
      <xdr:col>5</xdr:col>
      <xdr:colOff>2028825</xdr:colOff>
      <xdr:row>3</xdr:row>
      <xdr:rowOff>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4524375" y="381000"/>
          <a:ext cx="647700" cy="257175"/>
        </a:xfrm>
        <a:prstGeom prst="rect">
          <a:avLst/>
        </a:prstGeom>
        <a:solidFill>
          <a:srgbClr val="FFFF00"/>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G17"/>
  <sheetViews>
    <sheetView tabSelected="1" workbookViewId="0">
      <selection activeCell="F6" sqref="F6"/>
    </sheetView>
  </sheetViews>
  <sheetFormatPr defaultRowHeight="13.5" x14ac:dyDescent="0.15"/>
  <cols>
    <col min="1" max="1" width="3.625" customWidth="1"/>
    <col min="5" max="5" width="10.625" customWidth="1"/>
    <col min="6" max="6" width="27.125" customWidth="1"/>
    <col min="7" max="7" width="5.625" customWidth="1"/>
  </cols>
  <sheetData>
    <row r="1" spans="1:7" ht="29.25" customHeight="1" x14ac:dyDescent="0.15">
      <c r="A1" s="1" t="s">
        <v>63</v>
      </c>
    </row>
    <row r="2" spans="1:7" ht="4.5" customHeight="1" x14ac:dyDescent="0.15">
      <c r="A2" s="1"/>
    </row>
    <row r="3" spans="1:7" ht="21" customHeight="1" x14ac:dyDescent="0.15">
      <c r="F3" t="s">
        <v>21</v>
      </c>
    </row>
    <row r="4" spans="1:7" ht="20.100000000000001" customHeight="1" x14ac:dyDescent="0.15">
      <c r="A4" s="11" t="s">
        <v>60</v>
      </c>
    </row>
    <row r="5" spans="1:7" ht="9.9499999999999993" customHeight="1" x14ac:dyDescent="0.15"/>
    <row r="6" spans="1:7" ht="28.5" customHeight="1" x14ac:dyDescent="0.15">
      <c r="B6" s="4" t="s">
        <v>47</v>
      </c>
      <c r="C6" s="5"/>
      <c r="D6" s="5"/>
      <c r="E6" s="5"/>
      <c r="F6" s="9"/>
      <c r="G6" s="6" t="s">
        <v>0</v>
      </c>
    </row>
    <row r="7" spans="1:7" ht="28.5" customHeight="1" x14ac:dyDescent="0.15">
      <c r="B7" s="4" t="s">
        <v>67</v>
      </c>
      <c r="C7" s="5"/>
      <c r="D7" s="5"/>
      <c r="E7" s="5"/>
      <c r="F7" s="9"/>
      <c r="G7" s="6" t="s">
        <v>0</v>
      </c>
    </row>
    <row r="8" spans="1:7" ht="28.5" customHeight="1" x14ac:dyDescent="0.15">
      <c r="B8" s="7" t="s">
        <v>68</v>
      </c>
      <c r="C8" s="8"/>
      <c r="D8" s="8"/>
      <c r="E8" s="8"/>
      <c r="F8" s="22" t="s">
        <v>3</v>
      </c>
      <c r="G8" s="23"/>
    </row>
    <row r="9" spans="1:7" ht="28.5" customHeight="1" x14ac:dyDescent="0.15">
      <c r="B9" s="24" t="s">
        <v>23</v>
      </c>
      <c r="C9" s="24"/>
      <c r="D9" s="24"/>
      <c r="E9" s="24"/>
      <c r="F9" s="25" t="s">
        <v>24</v>
      </c>
      <c r="G9" s="25"/>
    </row>
    <row r="10" spans="1:7" ht="4.5" customHeight="1" x14ac:dyDescent="0.15"/>
    <row r="11" spans="1:7" ht="20.100000000000001" customHeight="1" x14ac:dyDescent="0.15">
      <c r="A11" s="11"/>
      <c r="B11" s="16" t="s">
        <v>22</v>
      </c>
    </row>
    <row r="12" spans="1:7" ht="20.100000000000001" customHeight="1" x14ac:dyDescent="0.15"/>
    <row r="13" spans="1:7" ht="20.100000000000001" customHeight="1" x14ac:dyDescent="0.15">
      <c r="A13" s="11" t="s">
        <v>64</v>
      </c>
    </row>
    <row r="14" spans="1:7" ht="10.5" customHeight="1" x14ac:dyDescent="0.15"/>
    <row r="15" spans="1:7" ht="28.5" customHeight="1" x14ac:dyDescent="0.15">
      <c r="B15" s="4" t="s">
        <v>62</v>
      </c>
      <c r="C15" s="5"/>
      <c r="D15" s="5"/>
      <c r="E15" s="5"/>
      <c r="F15" s="10" t="e">
        <f>IF(計算シート１!C34&lt;=100000,計算シート１!C34,計算シート１!E34)</f>
        <v>#VALUE!</v>
      </c>
      <c r="G15" s="6" t="s">
        <v>0</v>
      </c>
    </row>
    <row r="16" spans="1:7" ht="28.5" customHeight="1" thickBot="1" x14ac:dyDescent="0.2">
      <c r="B16" s="4" t="s">
        <v>7</v>
      </c>
      <c r="C16" s="5"/>
      <c r="D16" s="5"/>
      <c r="E16" s="5"/>
      <c r="F16" s="10">
        <f>IF(計算シート２!C43&lt;=100000,計算シート２!C43,計算シート２!E43)</f>
        <v>0</v>
      </c>
      <c r="G16" s="6" t="s">
        <v>8</v>
      </c>
    </row>
    <row r="17" spans="2:7" ht="28.5" customHeight="1" thickTop="1" x14ac:dyDescent="0.15">
      <c r="B17" s="18" t="s">
        <v>69</v>
      </c>
      <c r="C17" s="19"/>
      <c r="D17" s="19"/>
      <c r="E17" s="19"/>
      <c r="F17" s="20" t="e">
        <f>IF(計算シート２!B49&gt;=0,計算シート２!B49,0)</f>
        <v>#VALUE!</v>
      </c>
      <c r="G17" s="21" t="s">
        <v>61</v>
      </c>
    </row>
  </sheetData>
  <mergeCells count="3">
    <mergeCell ref="F8:G8"/>
    <mergeCell ref="B9:E9"/>
    <mergeCell ref="F9:G9"/>
  </mergeCells>
  <phoneticPr fontId="1"/>
  <pageMargins left="0.7" right="0.48" top="0.73" bottom="0.47"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計算シート２!$H$6:$H$7</xm:f>
          </x14:formula1>
          <xm:sqref>F8</xm:sqref>
        </x14:dataValidation>
        <x14:dataValidation type="list" allowBlank="1" showInputMessage="1" showErrorMessage="1" xr:uid="{D56D3B84-267D-4485-B855-45EE2F776A60}">
          <x14:formula1>
            <xm:f>計算シート２!$J$6:$J$8</xm:f>
          </x14:formula1>
          <xm:sqref>F9:G9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9B20C-C80B-4C2A-8EBB-F8DE38B96855}">
  <dimension ref="A1:F34"/>
  <sheetViews>
    <sheetView workbookViewId="0">
      <selection activeCell="D34" sqref="D34"/>
    </sheetView>
  </sheetViews>
  <sheetFormatPr defaultRowHeight="13.5" x14ac:dyDescent="0.15"/>
  <cols>
    <col min="1" max="1" width="12.125" customWidth="1"/>
    <col min="2" max="2" width="4.875" customWidth="1"/>
    <col min="3" max="3" width="14.625" customWidth="1"/>
    <col min="4" max="4" width="12.875" customWidth="1"/>
    <col min="5" max="5" width="16.375" customWidth="1"/>
    <col min="6" max="13" width="14.625" customWidth="1"/>
  </cols>
  <sheetData>
    <row r="1" spans="1:6" x14ac:dyDescent="0.15">
      <c r="A1" t="s">
        <v>48</v>
      </c>
    </row>
    <row r="3" spans="1:6" x14ac:dyDescent="0.15">
      <c r="A3" t="s">
        <v>49</v>
      </c>
    </row>
    <row r="5" spans="1:6" x14ac:dyDescent="0.15">
      <c r="A5" t="s">
        <v>47</v>
      </c>
      <c r="E5" t="str">
        <f>IF(所得金額調整控除額算出表!F6="","",所得金額調整控除額算出表!F6)</f>
        <v/>
      </c>
      <c r="F5" t="s">
        <v>0</v>
      </c>
    </row>
    <row r="7" spans="1:6" x14ac:dyDescent="0.15">
      <c r="A7" t="s">
        <v>50</v>
      </c>
      <c r="D7" t="s">
        <v>51</v>
      </c>
    </row>
    <row r="9" spans="1:6" x14ac:dyDescent="0.15">
      <c r="A9">
        <v>1</v>
      </c>
      <c r="B9" t="s">
        <v>1</v>
      </c>
      <c r="C9" s="17">
        <v>650999</v>
      </c>
      <c r="D9" t="s">
        <v>52</v>
      </c>
    </row>
    <row r="10" spans="1:6" x14ac:dyDescent="0.15">
      <c r="A10" s="17">
        <v>651000</v>
      </c>
      <c r="B10" t="s">
        <v>1</v>
      </c>
      <c r="C10" s="17">
        <v>1899999</v>
      </c>
      <c r="D10" t="s">
        <v>71</v>
      </c>
    </row>
    <row r="11" spans="1:6" x14ac:dyDescent="0.15">
      <c r="A11" s="17">
        <v>1900000</v>
      </c>
      <c r="B11" t="s">
        <v>1</v>
      </c>
      <c r="C11" s="17">
        <v>3599999</v>
      </c>
      <c r="D11" t="s">
        <v>53</v>
      </c>
    </row>
    <row r="12" spans="1:6" x14ac:dyDescent="0.15">
      <c r="A12" s="17">
        <v>3600000</v>
      </c>
      <c r="B12" t="s">
        <v>1</v>
      </c>
      <c r="C12" s="17">
        <v>6599999</v>
      </c>
      <c r="D12" t="s">
        <v>54</v>
      </c>
    </row>
    <row r="13" spans="1:6" x14ac:dyDescent="0.15">
      <c r="A13" s="17">
        <v>6600000</v>
      </c>
      <c r="B13" t="s">
        <v>1</v>
      </c>
      <c r="C13" s="17">
        <v>8499999</v>
      </c>
      <c r="D13" t="s">
        <v>55</v>
      </c>
    </row>
    <row r="14" spans="1:6" x14ac:dyDescent="0.15">
      <c r="A14" s="17">
        <v>8500000</v>
      </c>
      <c r="B14" t="s">
        <v>19</v>
      </c>
      <c r="D14" t="s">
        <v>56</v>
      </c>
    </row>
    <row r="17" spans="3:3" x14ac:dyDescent="0.15">
      <c r="C17" t="s">
        <v>70</v>
      </c>
    </row>
    <row r="18" spans="3:3" x14ac:dyDescent="0.15">
      <c r="C18">
        <f>IF(E5&lt;=C9,0,0)</f>
        <v>0</v>
      </c>
    </row>
    <row r="19" spans="3:3" x14ac:dyDescent="0.15">
      <c r="C19">
        <f>IF(AND($E$5&gt;=A10,$E$5&lt;=C10),$E$5-650000,0)</f>
        <v>0</v>
      </c>
    </row>
    <row r="20" spans="3:3" x14ac:dyDescent="0.15">
      <c r="C20">
        <f>IF(AND($E$5&gt;=A11,$E$5&lt;=C11),ROUNDDOWN($E$5/4,-3)*2.8-80000,0)</f>
        <v>0</v>
      </c>
    </row>
    <row r="21" spans="3:3" x14ac:dyDescent="0.15">
      <c r="C21">
        <f>IF(AND($E$5&gt;=A12,$E$5&lt;=C12),ROUNDDOWN($E$5/4,-3)*3.2-440000,0)</f>
        <v>0</v>
      </c>
    </row>
    <row r="22" spans="3:3" x14ac:dyDescent="0.15">
      <c r="C22">
        <f>IF(AND($E$5&gt;=A13,$E$5&lt;=C13),ROUNDDOWN($E$5*0.9,0)-1100000,0)</f>
        <v>0</v>
      </c>
    </row>
    <row r="23" spans="3:3" x14ac:dyDescent="0.15">
      <c r="C23" t="e">
        <f>IF($E$5&gt;=A14,$E$5-1950000,0)</f>
        <v>#VALUE!</v>
      </c>
    </row>
    <row r="34" spans="1:6" x14ac:dyDescent="0.15">
      <c r="A34" t="s">
        <v>57</v>
      </c>
      <c r="C34" t="e">
        <f>SUM(C18:C23)</f>
        <v>#VALUE!</v>
      </c>
      <c r="E34">
        <v>100000</v>
      </c>
      <c r="F34" t="s">
        <v>59</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9"/>
  <sheetViews>
    <sheetView topLeftCell="A32" workbookViewId="0">
      <selection activeCell="B49" sqref="B49"/>
    </sheetView>
  </sheetViews>
  <sheetFormatPr defaultRowHeight="13.5" x14ac:dyDescent="0.15"/>
  <cols>
    <col min="1" max="1" width="4" customWidth="1"/>
    <col min="2" max="2" width="13.25" customWidth="1"/>
    <col min="3" max="3" width="13" customWidth="1"/>
    <col min="4" max="4" width="3.875" customWidth="1"/>
    <col min="5" max="5" width="12.125" customWidth="1"/>
    <col min="6" max="6" width="25.5" customWidth="1"/>
    <col min="9" max="9" width="10.875" customWidth="1"/>
    <col min="11" max="11" width="10.75" customWidth="1"/>
    <col min="12" max="12" width="25.125" customWidth="1"/>
    <col min="15" max="15" width="11.125" customWidth="1"/>
    <col min="17" max="17" width="11.125" customWidth="1"/>
    <col min="18" max="18" width="24.75" customWidth="1"/>
  </cols>
  <sheetData>
    <row r="1" spans="1:18" x14ac:dyDescent="0.15">
      <c r="A1" t="s">
        <v>46</v>
      </c>
    </row>
    <row r="3" spans="1:18" x14ac:dyDescent="0.15">
      <c r="A3" t="s">
        <v>58</v>
      </c>
    </row>
    <row r="5" spans="1:18" x14ac:dyDescent="0.15">
      <c r="B5" t="s">
        <v>5</v>
      </c>
      <c r="F5">
        <f>所得金額調整控除額算出表!F7</f>
        <v>0</v>
      </c>
      <c r="G5" t="s">
        <v>0</v>
      </c>
    </row>
    <row r="6" spans="1:18" x14ac:dyDescent="0.15">
      <c r="B6" t="s">
        <v>2</v>
      </c>
      <c r="F6" s="2" t="str">
        <f>所得金額調整控除額算出表!F8</f>
        <v>65歳以上</v>
      </c>
      <c r="H6" t="s">
        <v>3</v>
      </c>
      <c r="J6" t="s">
        <v>24</v>
      </c>
    </row>
    <row r="7" spans="1:18" x14ac:dyDescent="0.15">
      <c r="B7" t="s">
        <v>45</v>
      </c>
      <c r="F7" s="2" t="str">
        <f>所得金額調整控除額算出表!F9</f>
        <v>1,000万円以下</v>
      </c>
      <c r="H7" t="s">
        <v>4</v>
      </c>
      <c r="J7" t="s">
        <v>25</v>
      </c>
    </row>
    <row r="8" spans="1:18" x14ac:dyDescent="0.15">
      <c r="J8" t="s">
        <v>26</v>
      </c>
    </row>
    <row r="10" spans="1:18" x14ac:dyDescent="0.15">
      <c r="B10" t="s">
        <v>14</v>
      </c>
    </row>
    <row r="11" spans="1:18" x14ac:dyDescent="0.15">
      <c r="B11" t="str">
        <f>J6</f>
        <v>1,000万円以下</v>
      </c>
      <c r="H11" t="str">
        <f>J7</f>
        <v>1,000万円超2,000万円以下</v>
      </c>
      <c r="N11" t="str">
        <f>J8</f>
        <v>2,000万円超</v>
      </c>
    </row>
    <row r="12" spans="1:18" ht="29.25" customHeight="1" x14ac:dyDescent="0.15">
      <c r="B12" s="3" t="s">
        <v>9</v>
      </c>
      <c r="C12" s="26" t="s">
        <v>15</v>
      </c>
      <c r="D12" s="27"/>
      <c r="E12" s="28"/>
      <c r="F12" s="3" t="s">
        <v>10</v>
      </c>
      <c r="H12" s="3" t="s">
        <v>9</v>
      </c>
      <c r="I12" s="26" t="s">
        <v>15</v>
      </c>
      <c r="J12" s="27"/>
      <c r="K12" s="28"/>
      <c r="L12" s="3" t="s">
        <v>10</v>
      </c>
      <c r="N12" s="3" t="s">
        <v>9</v>
      </c>
      <c r="O12" s="26" t="s">
        <v>15</v>
      </c>
      <c r="P12" s="27"/>
      <c r="Q12" s="28"/>
      <c r="R12" s="3" t="s">
        <v>10</v>
      </c>
    </row>
    <row r="13" spans="1:18" x14ac:dyDescent="0.15">
      <c r="B13" s="29" t="s">
        <v>11</v>
      </c>
      <c r="C13" s="12">
        <v>1</v>
      </c>
      <c r="D13" s="13" t="s">
        <v>19</v>
      </c>
      <c r="E13" s="14">
        <v>3300000</v>
      </c>
      <c r="F13" s="3" t="s">
        <v>27</v>
      </c>
      <c r="H13" s="29" t="s">
        <v>3</v>
      </c>
      <c r="I13" s="12">
        <v>1</v>
      </c>
      <c r="J13" s="13" t="s">
        <v>19</v>
      </c>
      <c r="K13" s="14">
        <v>3300000</v>
      </c>
      <c r="L13" s="3" t="s">
        <v>33</v>
      </c>
      <c r="N13" s="29" t="s">
        <v>3</v>
      </c>
      <c r="O13" s="12">
        <v>1</v>
      </c>
      <c r="P13" s="13" t="s">
        <v>19</v>
      </c>
      <c r="Q13" s="14">
        <v>3300000</v>
      </c>
      <c r="R13" s="3" t="s">
        <v>39</v>
      </c>
    </row>
    <row r="14" spans="1:18" x14ac:dyDescent="0.15">
      <c r="B14" s="30"/>
      <c r="C14" s="12">
        <v>3300001</v>
      </c>
      <c r="D14" s="13" t="s">
        <v>19</v>
      </c>
      <c r="E14" s="14">
        <v>4100000</v>
      </c>
      <c r="F14" s="3" t="s">
        <v>29</v>
      </c>
      <c r="H14" s="30"/>
      <c r="I14" s="12">
        <v>3300001</v>
      </c>
      <c r="J14" s="13" t="s">
        <v>19</v>
      </c>
      <c r="K14" s="14">
        <v>4100000</v>
      </c>
      <c r="L14" s="3" t="s">
        <v>34</v>
      </c>
      <c r="N14" s="30"/>
      <c r="O14" s="12">
        <v>3300001</v>
      </c>
      <c r="P14" s="13" t="s">
        <v>19</v>
      </c>
      <c r="Q14" s="14">
        <v>4100000</v>
      </c>
      <c r="R14" s="3" t="s">
        <v>40</v>
      </c>
    </row>
    <row r="15" spans="1:18" x14ac:dyDescent="0.15">
      <c r="B15" s="30"/>
      <c r="C15" s="12">
        <v>4100001</v>
      </c>
      <c r="D15" s="13" t="s">
        <v>19</v>
      </c>
      <c r="E15" s="14">
        <v>7700000</v>
      </c>
      <c r="F15" s="3" t="s">
        <v>30</v>
      </c>
      <c r="H15" s="30"/>
      <c r="I15" s="12">
        <v>4100001</v>
      </c>
      <c r="J15" s="13" t="s">
        <v>19</v>
      </c>
      <c r="K15" s="14">
        <v>7700000</v>
      </c>
      <c r="L15" s="3" t="s">
        <v>35</v>
      </c>
      <c r="N15" s="30"/>
      <c r="O15" s="12">
        <v>4100001</v>
      </c>
      <c r="P15" s="13" t="s">
        <v>19</v>
      </c>
      <c r="Q15" s="14">
        <v>7700000</v>
      </c>
      <c r="R15" s="3" t="s">
        <v>41</v>
      </c>
    </row>
    <row r="16" spans="1:18" x14ac:dyDescent="0.15">
      <c r="B16" s="30"/>
      <c r="C16" s="12">
        <v>7700001</v>
      </c>
      <c r="D16" s="13" t="s">
        <v>19</v>
      </c>
      <c r="E16" s="14">
        <v>10000000</v>
      </c>
      <c r="F16" s="3" t="s">
        <v>31</v>
      </c>
      <c r="H16" s="30"/>
      <c r="I16" s="12">
        <v>7700001</v>
      </c>
      <c r="J16" s="13" t="s">
        <v>19</v>
      </c>
      <c r="K16" s="14">
        <v>10000000</v>
      </c>
      <c r="L16" s="3" t="s">
        <v>36</v>
      </c>
      <c r="N16" s="30"/>
      <c r="O16" s="12">
        <v>7700001</v>
      </c>
      <c r="P16" s="13" t="s">
        <v>19</v>
      </c>
      <c r="Q16" s="14">
        <v>10000000</v>
      </c>
      <c r="R16" s="3" t="s">
        <v>42</v>
      </c>
    </row>
    <row r="17" spans="2:18" x14ac:dyDescent="0.15">
      <c r="B17" s="31"/>
      <c r="C17" s="12">
        <v>10000001</v>
      </c>
      <c r="D17" s="13" t="s">
        <v>19</v>
      </c>
      <c r="E17" s="14"/>
      <c r="F17" s="3" t="s">
        <v>28</v>
      </c>
      <c r="H17" s="31"/>
      <c r="I17" s="12">
        <v>10000001</v>
      </c>
      <c r="J17" s="13" t="s">
        <v>19</v>
      </c>
      <c r="K17" s="14"/>
      <c r="L17" s="3" t="s">
        <v>37</v>
      </c>
      <c r="N17" s="31"/>
      <c r="O17" s="12">
        <v>10000001</v>
      </c>
      <c r="P17" s="13" t="s">
        <v>19</v>
      </c>
      <c r="Q17" s="14"/>
      <c r="R17" s="3" t="s">
        <v>43</v>
      </c>
    </row>
    <row r="18" spans="2:18" x14ac:dyDescent="0.15">
      <c r="B18" s="32" t="s">
        <v>12</v>
      </c>
      <c r="C18" s="12">
        <v>1</v>
      </c>
      <c r="D18" s="13" t="s">
        <v>19</v>
      </c>
      <c r="E18" s="14">
        <v>1300000</v>
      </c>
      <c r="F18" s="3" t="s">
        <v>32</v>
      </c>
      <c r="H18" s="32" t="s">
        <v>4</v>
      </c>
      <c r="I18" s="12">
        <v>1</v>
      </c>
      <c r="J18" s="13" t="s">
        <v>19</v>
      </c>
      <c r="K18" s="14">
        <v>1300000</v>
      </c>
      <c r="L18" s="3" t="s">
        <v>38</v>
      </c>
      <c r="N18" s="32" t="s">
        <v>4</v>
      </c>
      <c r="O18" s="12">
        <v>1</v>
      </c>
      <c r="P18" s="13" t="s">
        <v>19</v>
      </c>
      <c r="Q18" s="14">
        <v>1300000</v>
      </c>
      <c r="R18" s="3" t="s">
        <v>44</v>
      </c>
    </row>
    <row r="19" spans="2:18" x14ac:dyDescent="0.15">
      <c r="B19" s="33"/>
      <c r="C19" s="12">
        <v>1300001</v>
      </c>
      <c r="D19" s="13" t="s">
        <v>19</v>
      </c>
      <c r="E19" s="14">
        <v>4100000</v>
      </c>
      <c r="F19" s="3" t="s">
        <v>29</v>
      </c>
      <c r="H19" s="33"/>
      <c r="I19" s="12">
        <v>1300001</v>
      </c>
      <c r="J19" s="13" t="s">
        <v>19</v>
      </c>
      <c r="K19" s="14">
        <v>4100000</v>
      </c>
      <c r="L19" s="3" t="s">
        <v>34</v>
      </c>
      <c r="N19" s="33"/>
      <c r="O19" s="12">
        <v>1300001</v>
      </c>
      <c r="P19" s="13" t="s">
        <v>19</v>
      </c>
      <c r="Q19" s="14">
        <v>4100000</v>
      </c>
      <c r="R19" s="3" t="s">
        <v>40</v>
      </c>
    </row>
    <row r="20" spans="2:18" x14ac:dyDescent="0.15">
      <c r="B20" s="33"/>
      <c r="C20" s="12">
        <v>4100001</v>
      </c>
      <c r="D20" s="13" t="s">
        <v>1</v>
      </c>
      <c r="E20" s="14">
        <v>7700000</v>
      </c>
      <c r="F20" s="3" t="s">
        <v>30</v>
      </c>
      <c r="H20" s="33"/>
      <c r="I20" s="12">
        <v>4100001</v>
      </c>
      <c r="J20" s="13" t="s">
        <v>1</v>
      </c>
      <c r="K20" s="14">
        <v>7700000</v>
      </c>
      <c r="L20" s="3" t="s">
        <v>35</v>
      </c>
      <c r="N20" s="33"/>
      <c r="O20" s="12">
        <v>4100001</v>
      </c>
      <c r="P20" s="13" t="s">
        <v>1</v>
      </c>
      <c r="Q20" s="14">
        <v>7700000</v>
      </c>
      <c r="R20" s="3" t="s">
        <v>41</v>
      </c>
    </row>
    <row r="21" spans="2:18" x14ac:dyDescent="0.15">
      <c r="B21" s="33"/>
      <c r="C21" s="12">
        <v>7700001</v>
      </c>
      <c r="D21" s="13" t="s">
        <v>1</v>
      </c>
      <c r="E21" s="14">
        <v>10000000</v>
      </c>
      <c r="F21" s="3" t="s">
        <v>31</v>
      </c>
      <c r="H21" s="33"/>
      <c r="I21" s="12">
        <v>7700001</v>
      </c>
      <c r="J21" s="13" t="s">
        <v>1</v>
      </c>
      <c r="K21" s="14">
        <v>10000000</v>
      </c>
      <c r="L21" s="3" t="s">
        <v>36</v>
      </c>
      <c r="N21" s="33"/>
      <c r="O21" s="12">
        <v>7700001</v>
      </c>
      <c r="P21" s="13" t="s">
        <v>1</v>
      </c>
      <c r="Q21" s="14">
        <v>10000000</v>
      </c>
      <c r="R21" s="3" t="s">
        <v>42</v>
      </c>
    </row>
    <row r="22" spans="2:18" x14ac:dyDescent="0.15">
      <c r="B22" s="34"/>
      <c r="C22" s="12">
        <v>10000001</v>
      </c>
      <c r="D22" s="13" t="s">
        <v>19</v>
      </c>
      <c r="E22" s="14"/>
      <c r="F22" s="3" t="s">
        <v>28</v>
      </c>
      <c r="H22" s="34"/>
      <c r="I22" s="12">
        <v>10000001</v>
      </c>
      <c r="J22" s="13" t="s">
        <v>19</v>
      </c>
      <c r="K22" s="14"/>
      <c r="L22" s="3" t="s">
        <v>37</v>
      </c>
      <c r="N22" s="34"/>
      <c r="O22" s="12">
        <v>10000001</v>
      </c>
      <c r="P22" s="13" t="s">
        <v>19</v>
      </c>
      <c r="Q22" s="14"/>
      <c r="R22" s="3" t="s">
        <v>43</v>
      </c>
    </row>
    <row r="24" spans="2:18" x14ac:dyDescent="0.15">
      <c r="B24" t="s">
        <v>18</v>
      </c>
    </row>
    <row r="25" spans="2:18" x14ac:dyDescent="0.15">
      <c r="B25" t="s">
        <v>17</v>
      </c>
    </row>
    <row r="26" spans="2:18" x14ac:dyDescent="0.15">
      <c r="B26" t="s">
        <v>13</v>
      </c>
    </row>
    <row r="28" spans="2:18" x14ac:dyDescent="0.15">
      <c r="B28" t="s">
        <v>16</v>
      </c>
    </row>
    <row r="30" spans="2:18" x14ac:dyDescent="0.15">
      <c r="C30" t="str">
        <f>J6</f>
        <v>1,000万円以下</v>
      </c>
      <c r="F30" t="str">
        <f>J7</f>
        <v>1,000万円超2,000万円以下</v>
      </c>
      <c r="H30" t="str">
        <f>J8</f>
        <v>2,000万円超</v>
      </c>
    </row>
    <row r="31" spans="2:18" x14ac:dyDescent="0.15">
      <c r="B31" t="s">
        <v>11</v>
      </c>
      <c r="C31">
        <f>IF(AND($F$6=$H$6,$F$7=$J$6,$F$5&gt;=C13,$F$5&lt;=E13),1100000,0)</f>
        <v>0</v>
      </c>
      <c r="F31">
        <f>IF(AND($F$6=$H$6,$F$7=$J$7,$F$5&gt;=I13,$F$5&lt;=K13),1000000,0)</f>
        <v>0</v>
      </c>
      <c r="H31">
        <f>IF(AND($F$6=$H$6,$F$7=$J$8,$F$5&gt;=O13,$F$5&lt;=Q13),900000,0)</f>
        <v>0</v>
      </c>
    </row>
    <row r="32" spans="2:18" x14ac:dyDescent="0.15">
      <c r="C32">
        <f>IF(AND($F$6=$H$6,$F$7=$J$6,$F$5&gt;=C14,$F$5&lt;=E14),ROUNDUP($F$5*0.25+275000,0),0)</f>
        <v>0</v>
      </c>
      <c r="F32">
        <f>IF(AND($F$6=$H$6,$F$7=$J$7,$F$5&gt;=I14,$F$5&lt;=K14),ROUNDUP($F$5*0.25+175000,0),0)</f>
        <v>0</v>
      </c>
      <c r="H32">
        <f>IF(AND($F$6=$H$6,$F$7=$J$8,$F$5&gt;=O14,$F$5&lt;=Q14),ROUNDUP($F$5*0.25+75000,0),0)</f>
        <v>0</v>
      </c>
    </row>
    <row r="33" spans="1:10" x14ac:dyDescent="0.15">
      <c r="C33">
        <f>IF(AND($F$6=$H$6,$F$7=$J$6,$F$5&gt;=C15,$F$5&lt;=E15),ROUNDUP($F$5*0.15+685000,0),0)</f>
        <v>0</v>
      </c>
      <c r="F33">
        <f>IF(AND($F$6=$H$6,$F$7=$J$7,$F$5&gt;=I15,$F$5&lt;=K15),ROUNDUP($F$5*0.15+585000,0),0)</f>
        <v>0</v>
      </c>
      <c r="H33">
        <f>IF(AND($F$6=$H$6,$F$7=$J$8,$F$5&gt;=O15,$F$5&lt;=Q15),ROUNDUP($F$5*0.15+485000,0),0)</f>
        <v>0</v>
      </c>
    </row>
    <row r="34" spans="1:10" x14ac:dyDescent="0.15">
      <c r="C34">
        <f>IF(AND($F$6=$H$6,$F$7=$J$6,$F$5&gt;=C16,$F$5&lt;=E16),ROUNDUP($F$5*0.05+1455000,0),0)</f>
        <v>0</v>
      </c>
      <c r="F34">
        <f>IF(AND($F$6=$H$6,$F$7=$J$7,$F$5&gt;=I16,$F$5&lt;=K16),ROUNDUP($F$5*0.05+1355000,0),0)</f>
        <v>0</v>
      </c>
      <c r="H34">
        <f>IF(AND($F$6=$H$6,$F$7=$J$8,$F$5&gt;=O16,$F$5&lt;=Q16),ROUNDUP($F$5*0.05+1255000,0),0)</f>
        <v>0</v>
      </c>
    </row>
    <row r="35" spans="1:10" x14ac:dyDescent="0.15">
      <c r="C35">
        <f>IF(AND($F$6=$H$6,$F$7=$J$6,$F$5&gt;=C17),1955000,0)</f>
        <v>0</v>
      </c>
      <c r="F35">
        <f>IF(AND($F$6=$H$6,$F$7=$J$7,$F$5&gt;=I17),1855000,0)</f>
        <v>0</v>
      </c>
      <c r="H35">
        <f>IF(AND($F$6=$H$6,$F$7=$J$8,$F$5&gt;=O17),1755000,0)</f>
        <v>0</v>
      </c>
    </row>
    <row r="36" spans="1:10" x14ac:dyDescent="0.15">
      <c r="B36" t="s">
        <v>12</v>
      </c>
      <c r="C36">
        <f>IF(AND($F$6=$H$7,$F$7=$J$6,$F$5&gt;=C18,$F$5&lt;=E18),600000,0)</f>
        <v>0</v>
      </c>
      <c r="F36">
        <f>IF(AND($F$6=$H$7,$F$7=$J$7,$F$5&gt;=I18,$F$5&lt;=K18),500000,0)</f>
        <v>0</v>
      </c>
      <c r="H36">
        <f>IF(AND($F$6=$H$7,$F$7=$J$8,$F$5&gt;=O18,$F$5&lt;=Q18),400000,0)</f>
        <v>0</v>
      </c>
    </row>
    <row r="37" spans="1:10" x14ac:dyDescent="0.15">
      <c r="C37">
        <f>IF(AND($F$6=$H$7,$F$7=$J$6,$F$5&gt;=C19,$F$5&lt;=E19),ROUNDUP($F$5*0.25+275000,0),0)</f>
        <v>0</v>
      </c>
      <c r="F37">
        <f>IF(AND($F$6=$H$7,$F$7=$J$7,$F$5&gt;=I19,$F$5&lt;=K19),ROUNDUP($F$5*0.25+175000,0),0)</f>
        <v>0</v>
      </c>
      <c r="H37">
        <f>IF(AND($F$6=$H$7,$F$7=$J$8,$F$5&gt;=O19,$F$5&lt;=Q19),ROUNDUP($F$5*0.25+75000,0),0)</f>
        <v>0</v>
      </c>
    </row>
    <row r="38" spans="1:10" x14ac:dyDescent="0.15">
      <c r="C38">
        <f>IF(AND($F$6=$H$7,$F$7=$J$6,$F$5&gt;=C20,$F$5&lt;=E20),ROUNDUP($F$5*0.15+685000,0),0)</f>
        <v>0</v>
      </c>
      <c r="F38">
        <f>IF(AND($F$6=$H$7,$F$7=$J$7,$F$5&gt;=I20,$F$5&lt;=K20),ROUNDUP($F$5*0.15+585000,0),0)</f>
        <v>0</v>
      </c>
      <c r="H38">
        <f>IF(AND($F$6=$H$7,$F$7=$J$8,$F$5&gt;=O20,$F$5&lt;=Q20),ROUNDUP($F$5*0.15+485000,0),0)</f>
        <v>0</v>
      </c>
    </row>
    <row r="39" spans="1:10" x14ac:dyDescent="0.15">
      <c r="C39">
        <f>IF(AND($F$6=$H$7,$F$7=$J$6,$F$5&gt;=C21,$F$5&lt;=E21),ROUNDUP($F$5*0.05+1455000,0),0)</f>
        <v>0</v>
      </c>
      <c r="F39">
        <f>IF(AND($F$6=$H$7,$F$7=$J$7,$F$5&gt;=I21,$F$5&lt;=K21),ROUNDUP($F$5*0.05+1355000,0),0)</f>
        <v>0</v>
      </c>
      <c r="H39">
        <f>IF(AND($F$6=$H$7,$F$7=$J$8,$F$5&gt;=O21,$F$5&lt;=Q21),ROUNDUP($F$5*0.05+1255000,0),0)</f>
        <v>0</v>
      </c>
    </row>
    <row r="40" spans="1:10" x14ac:dyDescent="0.15">
      <c r="C40">
        <f>IF(AND($F$6=$H$7,$F$7=$J$6,$F$5&gt;=C22),1955000,0)</f>
        <v>0</v>
      </c>
      <c r="F40">
        <f>IF(AND($F$6=$H$7,$F$7=$J$7,$F$5&gt;=I22),1855000,0)</f>
        <v>0</v>
      </c>
      <c r="H40">
        <f>IF(AND($F$6=$H$7,$F$7=$J$8,$F$5&gt;=O22),1755000,0)</f>
        <v>0</v>
      </c>
    </row>
    <row r="42" spans="1:10" x14ac:dyDescent="0.15">
      <c r="B42" t="s">
        <v>6</v>
      </c>
      <c r="C42">
        <f>SUM(C31:C41)</f>
        <v>0</v>
      </c>
      <c r="F42">
        <f>SUM(F31:F41)</f>
        <v>0</v>
      </c>
      <c r="H42">
        <f>SUM(H31:H41)</f>
        <v>0</v>
      </c>
      <c r="J42">
        <f>SUM(C42:H42)</f>
        <v>0</v>
      </c>
    </row>
    <row r="43" spans="1:10" ht="40.5" x14ac:dyDescent="0.15">
      <c r="B43" s="15" t="s">
        <v>20</v>
      </c>
      <c r="C43">
        <f>MAX($F$5-J42,0)</f>
        <v>0</v>
      </c>
      <c r="E43">
        <v>100000</v>
      </c>
      <c r="F43" t="s">
        <v>59</v>
      </c>
    </row>
    <row r="47" spans="1:10" x14ac:dyDescent="0.15">
      <c r="A47" t="s">
        <v>65</v>
      </c>
    </row>
    <row r="49" spans="2:3" x14ac:dyDescent="0.15">
      <c r="B49" t="e">
        <f>所得金額調整控除額算出表!F15+所得金額調整控除額算出表!F16-100000</f>
        <v>#VALUE!</v>
      </c>
      <c r="C49" t="s">
        <v>66</v>
      </c>
    </row>
  </sheetData>
  <mergeCells count="9">
    <mergeCell ref="O12:Q12"/>
    <mergeCell ref="B13:B17"/>
    <mergeCell ref="B18:B22"/>
    <mergeCell ref="H13:H17"/>
    <mergeCell ref="H18:H22"/>
    <mergeCell ref="N13:N17"/>
    <mergeCell ref="N18:N22"/>
    <mergeCell ref="C12:E12"/>
    <mergeCell ref="I12:K12"/>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3</vt:i4>
      </vt:variant>
    </vt:vector>
  </HeadingPairs>
  <TitlesOfParts>
    <vt:vector size="3" baseType="lpstr">
      <vt:lpstr>所得金額調整控除額算出表</vt:lpstr>
      <vt:lpstr>計算シート１</vt:lpstr>
      <vt:lpstr>計算シート２</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まいぼた</dc:creator>
  <cp:lastPrinted>2025-09-12T02:12:58Z</cp:lastPrinted>
  <dcterms:created xsi:type="dcterms:W3CDTF">2018-10-03T05:16:21Z</dcterms:created>
  <dcterms:modified xsi:type="dcterms:W3CDTF">2025-09-12T02:16:09Z</dcterms:modified>
</cp:coreProperties>
</file>