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就業手当20230801\"/>
    </mc:Choice>
  </mc:AlternateContent>
  <xr:revisionPtr revIDLastSave="0" documentId="13_ncr:1_{C6021B31-4657-4525-A3E7-DB7801AC51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就業手当算出表" sheetId="3" r:id="rId1"/>
    <sheet name="計算シート" sheetId="8" r:id="rId2"/>
  </sheets>
  <definedNames>
    <definedName name="_xlnm._FilterDatabase" localSheetId="0" hidden="1">就業手当算出表!$D$6:$G$9</definedName>
  </definedNames>
  <calcPr calcId="181029"/>
</workbook>
</file>

<file path=xl/calcChain.xml><?xml version="1.0" encoding="utf-8"?>
<calcChain xmlns="http://schemas.openxmlformats.org/spreadsheetml/2006/main">
  <c r="D86" i="8" l="1"/>
  <c r="D85" i="8"/>
  <c r="J24" i="8"/>
  <c r="J23" i="8"/>
  <c r="J22" i="8"/>
  <c r="J21" i="8"/>
  <c r="H22" i="8"/>
  <c r="G24" i="8"/>
  <c r="G23" i="8"/>
  <c r="G22" i="8"/>
  <c r="G21" i="8"/>
  <c r="E24" i="8"/>
  <c r="E23" i="8"/>
  <c r="E22" i="8"/>
  <c r="E21" i="8"/>
  <c r="D24" i="8"/>
  <c r="D23" i="8"/>
  <c r="D22" i="8"/>
  <c r="D21" i="8"/>
  <c r="C74" i="8" l="1"/>
  <c r="C85" i="8"/>
  <c r="I9" i="8" l="1"/>
  <c r="C86" i="8" l="1"/>
  <c r="I20" i="8" l="1"/>
  <c r="H20" i="8"/>
  <c r="G20" i="8"/>
  <c r="E20" i="8"/>
  <c r="D20" i="8"/>
  <c r="J20" i="8"/>
  <c r="C11" i="8"/>
  <c r="C10" i="8"/>
  <c r="C9" i="8"/>
  <c r="C8" i="8"/>
  <c r="G52" i="8"/>
  <c r="G57" i="8" s="1"/>
  <c r="F52" i="8"/>
  <c r="F57" i="8" s="1"/>
  <c r="E52" i="8"/>
  <c r="E57" i="8" s="1"/>
  <c r="D52" i="8"/>
  <c r="D54" i="8" s="1"/>
  <c r="D57" i="8" l="1"/>
  <c r="D53" i="8"/>
  <c r="D55" i="8"/>
  <c r="D56" i="8"/>
  <c r="E53" i="8"/>
  <c r="E54" i="8"/>
  <c r="E55" i="8"/>
  <c r="E56" i="8"/>
  <c r="F53" i="8"/>
  <c r="F54" i="8"/>
  <c r="F55" i="8"/>
  <c r="F56" i="8"/>
  <c r="G53" i="8"/>
  <c r="G54" i="8"/>
  <c r="G55" i="8"/>
  <c r="G56" i="8"/>
  <c r="G58" i="8" l="1"/>
  <c r="F58" i="8"/>
  <c r="E58" i="8"/>
  <c r="D58" i="8"/>
  <c r="C52" i="8" l="1"/>
  <c r="C58" i="8" s="1"/>
  <c r="C60" i="8" s="1"/>
  <c r="G36" i="8"/>
  <c r="F36" i="8"/>
  <c r="E36" i="8"/>
  <c r="D36" i="8"/>
  <c r="C36" i="8"/>
  <c r="C38" i="8" l="1"/>
  <c r="G8" i="8"/>
  <c r="H11" i="8"/>
  <c r="G11" i="8"/>
  <c r="H10" i="8"/>
  <c r="G10" i="8"/>
  <c r="H9" i="8"/>
  <c r="G9" i="8"/>
  <c r="I11" i="8"/>
  <c r="I10" i="8"/>
  <c r="I8" i="8"/>
  <c r="H8" i="8"/>
  <c r="D15" i="3" l="1"/>
  <c r="C75" i="8" s="1"/>
  <c r="J9" i="8"/>
  <c r="J11" i="8"/>
  <c r="J8" i="8"/>
  <c r="J10" i="8"/>
  <c r="C13" i="8" l="1"/>
  <c r="I21" i="8" l="1"/>
  <c r="I22" i="8"/>
  <c r="I24" i="8"/>
  <c r="I23" i="8"/>
  <c r="D13" i="3"/>
  <c r="I26" i="8" l="1"/>
  <c r="E26" i="8"/>
  <c r="D26" i="8"/>
  <c r="J26" i="8"/>
  <c r="D14" i="3" l="1"/>
  <c r="E85" i="8" l="1"/>
  <c r="E86" i="8"/>
  <c r="E88" i="8" l="1"/>
  <c r="D20" i="3" s="1"/>
  <c r="D22" i="3" s="1"/>
</calcChain>
</file>

<file path=xl/sharedStrings.xml><?xml version="1.0" encoding="utf-8"?>
<sst xmlns="http://schemas.openxmlformats.org/spreadsheetml/2006/main" count="121" uniqueCount="84">
  <si>
    <t>１．条件</t>
    <rPh sb="2" eb="4">
      <t>ジョウケン</t>
    </rPh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</si>
  <si>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</si>
  <si>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</si>
  <si>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離職前６ヶ月間の月額平均給与</t>
    <rPh sb="0" eb="2">
      <t>リショク</t>
    </rPh>
    <rPh sb="2" eb="3">
      <t>マエ</t>
    </rPh>
    <rPh sb="5" eb="6">
      <t>ゲツ</t>
    </rPh>
    <rPh sb="6" eb="7">
      <t>カン</t>
    </rPh>
    <rPh sb="8" eb="10">
      <t>ゲツガク</t>
    </rPh>
    <rPh sb="10" eb="12">
      <t>ヘイキン</t>
    </rPh>
    <rPh sb="12" eb="14">
      <t>キュウヨ</t>
    </rPh>
    <phoneticPr fontId="1"/>
  </si>
  <si>
    <t>円</t>
    <rPh sb="0" eb="1">
      <t>エン</t>
    </rPh>
    <phoneticPr fontId="1"/>
  </si>
  <si>
    <t>雇用保険に係る賃金日額等算出用計算シート</t>
    <rPh sb="0" eb="2">
      <t>コヨウ</t>
    </rPh>
    <rPh sb="2" eb="4">
      <t>ホケン</t>
    </rPh>
    <rPh sb="5" eb="6">
      <t>カカ</t>
    </rPh>
    <rPh sb="7" eb="9">
      <t>チンギン</t>
    </rPh>
    <rPh sb="9" eb="11">
      <t>ニチガク</t>
    </rPh>
    <rPh sb="11" eb="12">
      <t>トウ</t>
    </rPh>
    <rPh sb="12" eb="14">
      <t>サンシュツ</t>
    </rPh>
    <rPh sb="14" eb="15">
      <t>ヨウ</t>
    </rPh>
    <rPh sb="15" eb="17">
      <t>ケイサン</t>
    </rPh>
    <phoneticPr fontId="1"/>
  </si>
  <si>
    <t>１．賃金日額</t>
    <rPh sb="2" eb="4">
      <t>チンギン</t>
    </rPh>
    <rPh sb="4" eb="6">
      <t>ニチガク</t>
    </rPh>
    <phoneticPr fontId="1"/>
  </si>
  <si>
    <t>年齢別　賃金日額の上限額・下限額</t>
    <rPh sb="0" eb="2">
      <t>ネンレイ</t>
    </rPh>
    <rPh sb="2" eb="3">
      <t>ベツ</t>
    </rPh>
    <rPh sb="4" eb="6">
      <t>チンギン</t>
    </rPh>
    <rPh sb="6" eb="8">
      <t>ニチガク</t>
    </rPh>
    <rPh sb="9" eb="12">
      <t>ジョウゲンガク</t>
    </rPh>
    <rPh sb="13" eb="15">
      <t>カゲン</t>
    </rPh>
    <rPh sb="15" eb="16">
      <t>ガク</t>
    </rPh>
    <phoneticPr fontId="1"/>
  </si>
  <si>
    <t>29歳以下</t>
    <rPh sb="2" eb="5">
      <t>サイイカ</t>
    </rPh>
    <phoneticPr fontId="1"/>
  </si>
  <si>
    <t>30～44歳</t>
    <rPh sb="5" eb="6">
      <t>サイ</t>
    </rPh>
    <phoneticPr fontId="1"/>
  </si>
  <si>
    <t>45～59歳</t>
    <rPh sb="5" eb="6">
      <t>サイ</t>
    </rPh>
    <phoneticPr fontId="1"/>
  </si>
  <si>
    <t>60～64歳</t>
    <rPh sb="5" eb="6">
      <t>サイ</t>
    </rPh>
    <phoneticPr fontId="1"/>
  </si>
  <si>
    <t>上限額</t>
    <rPh sb="0" eb="3">
      <t>ジョウゲンガク</t>
    </rPh>
    <phoneticPr fontId="1"/>
  </si>
  <si>
    <t>下限額</t>
    <rPh sb="0" eb="2">
      <t>カゲン</t>
    </rPh>
    <rPh sb="2" eb="3">
      <t>ガク</t>
    </rPh>
    <phoneticPr fontId="1"/>
  </si>
  <si>
    <t>年齢該当</t>
    <rPh sb="0" eb="2">
      <t>ネンレイ</t>
    </rPh>
    <rPh sb="2" eb="4">
      <t>ガイトウ</t>
    </rPh>
    <phoneticPr fontId="1"/>
  </si>
  <si>
    <t>合計</t>
    <rPh sb="0" eb="2">
      <t>ゴウケイ</t>
    </rPh>
    <phoneticPr fontId="1"/>
  </si>
  <si>
    <t>賃金日額</t>
    <rPh sb="0" eb="2">
      <t>チンギン</t>
    </rPh>
    <rPh sb="2" eb="4">
      <t>ニチガク</t>
    </rPh>
    <phoneticPr fontId="1"/>
  </si>
  <si>
    <t>２．基本手当日額</t>
    <rPh sb="2" eb="4">
      <t>キホン</t>
    </rPh>
    <rPh sb="4" eb="6">
      <t>テアテ</t>
    </rPh>
    <rPh sb="6" eb="8">
      <t>ニチガク</t>
    </rPh>
    <phoneticPr fontId="1"/>
  </si>
  <si>
    <t>29歳以下</t>
    <rPh sb="2" eb="3">
      <t>サイ</t>
    </rPh>
    <rPh sb="3" eb="5">
      <t>イカ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</si>
  <si>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</si>
  <si>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</si>
  <si>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</si>
  <si>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</si>
  <si>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区分</t>
    <rPh sb="0" eb="2">
      <t>クブン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</si>
  <si>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</si>
  <si>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</si>
  <si>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</si>
  <si>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</si>
  <si>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雇用保険加入期間（被保険者期間）</t>
    <rPh sb="0" eb="2">
      <t>コヨウ</t>
    </rPh>
    <rPh sb="2" eb="4">
      <t>ホケン</t>
    </rPh>
    <rPh sb="4" eb="6">
      <t>カニュウ</t>
    </rPh>
    <rPh sb="6" eb="8">
      <t>キカン</t>
    </rPh>
    <rPh sb="9" eb="13">
      <t>ヒホケンシャ</t>
    </rPh>
    <rPh sb="13" eb="15">
      <t>キカン</t>
    </rPh>
    <phoneticPr fontId="1"/>
  </si>
  <si>
    <t>基本手当日額</t>
    <rPh sb="0" eb="2">
      <t>キホン</t>
    </rPh>
    <rPh sb="2" eb="4">
      <t>テアテ</t>
    </rPh>
    <rPh sb="4" eb="6">
      <t>ニチガク</t>
    </rPh>
    <phoneticPr fontId="1"/>
  </si>
  <si>
    <t>退職理由</t>
    <rPh sb="0" eb="2">
      <t>タイショク</t>
    </rPh>
    <rPh sb="2" eb="4">
      <t>リユウ</t>
    </rPh>
    <phoneticPr fontId="1"/>
  </si>
  <si>
    <t>年</t>
    <rPh sb="0" eb="1">
      <t>ネン</t>
    </rPh>
    <phoneticPr fontId="1"/>
  </si>
  <si>
    <t>所定給付日数</t>
  </si>
  <si>
    <t>② 倒産、解雇、一定の要件を満たす雇止め等で離職された方（③を除く）</t>
  </si>
  <si>
    <t>③ 障害者等の就職が困難な方（ご本人からの申し出が必要となります）</t>
  </si>
  <si>
    <t>３．所定給付日数</t>
    <rPh sb="2" eb="4">
      <t>ショテイ</t>
    </rPh>
    <rPh sb="4" eb="6">
      <t>キュウフ</t>
    </rPh>
    <rPh sb="6" eb="8">
      <t>ニッスウ</t>
    </rPh>
    <phoneticPr fontId="1"/>
  </si>
  <si>
    <t>雇用保険の被保険者であった期間</t>
    <rPh sb="0" eb="2">
      <t>コヨウ</t>
    </rPh>
    <rPh sb="2" eb="4">
      <t>ホケン</t>
    </rPh>
    <rPh sb="5" eb="9">
      <t>ヒホケンシャ</t>
    </rPh>
    <rPh sb="13" eb="15">
      <t>キカン</t>
    </rPh>
    <phoneticPr fontId="1"/>
  </si>
  <si>
    <t>①契約期間満了、定年退職、自己の意思で離職した方（②および③以外の全ての離職者）</t>
    <phoneticPr fontId="1"/>
  </si>
  <si>
    <t>１年未満</t>
    <rPh sb="1" eb="2">
      <t>ネン</t>
    </rPh>
    <rPh sb="2" eb="4">
      <t>ミマン</t>
    </rPh>
    <phoneticPr fontId="1"/>
  </si>
  <si>
    <t>１年以上
５年未満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</si>
  <si>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</si>
  <si>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</si>
  <si>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２０年以上</t>
    <rPh sb="2" eb="3">
      <t>ネン</t>
    </rPh>
    <rPh sb="3" eb="5">
      <t>イジョウ</t>
    </rPh>
    <phoneticPr fontId="1"/>
  </si>
  <si>
    <t>全年齢</t>
    <rPh sb="0" eb="3">
      <t>ゼンネンレイ</t>
    </rPh>
    <phoneticPr fontId="1"/>
  </si>
  <si>
    <t>29歳以下</t>
    <rPh sb="2" eb="3">
      <t>サイ</t>
    </rPh>
    <rPh sb="3" eb="5">
      <t>イカ</t>
    </rPh>
    <phoneticPr fontId="1"/>
  </si>
  <si>
    <t>30～34歳</t>
    <rPh sb="5" eb="6">
      <t>サイ</t>
    </rPh>
    <phoneticPr fontId="1"/>
  </si>
  <si>
    <t>35～44歳</t>
    <rPh sb="5" eb="6">
      <t>サイ</t>
    </rPh>
    <phoneticPr fontId="1"/>
  </si>
  <si>
    <t>45～59歳</t>
    <rPh sb="5" eb="6">
      <t>サイ</t>
    </rPh>
    <phoneticPr fontId="1"/>
  </si>
  <si>
    <t>60～64歳</t>
    <rPh sb="5" eb="6">
      <t>サイ</t>
    </rPh>
    <phoneticPr fontId="1"/>
  </si>
  <si>
    <t>44歳以下</t>
    <rPh sb="2" eb="3">
      <t>サイ</t>
    </rPh>
    <rPh sb="3" eb="5">
      <t>イカ</t>
    </rPh>
    <phoneticPr fontId="1"/>
  </si>
  <si>
    <t>45～64歳</t>
    <rPh sb="5" eb="6">
      <t>サイ</t>
    </rPh>
    <phoneticPr fontId="1"/>
  </si>
  <si>
    <t>条件該当</t>
    <rPh sb="0" eb="2">
      <t>ジョウケン</t>
    </rPh>
    <rPh sb="2" eb="4">
      <t>ガイトウ</t>
    </rPh>
    <phoneticPr fontId="1"/>
  </si>
  <si>
    <t>該当条件</t>
    <rPh sb="0" eb="2">
      <t>ガイトウ</t>
    </rPh>
    <rPh sb="2" eb="4">
      <t>ジョウケン</t>
    </rPh>
    <phoneticPr fontId="1"/>
  </si>
  <si>
    <t>合計</t>
    <rPh sb="0" eb="2">
      <t>ゴウケイ</t>
    </rPh>
    <phoneticPr fontId="1"/>
  </si>
  <si>
    <t>給付日数</t>
    <rPh sb="0" eb="2">
      <t>キュウフ</t>
    </rPh>
    <rPh sb="2" eb="4">
      <t>ニッスウ</t>
    </rPh>
    <phoneticPr fontId="1"/>
  </si>
  <si>
    <t>日</t>
    <rPh sb="0" eb="1">
      <t>ニチ</t>
    </rPh>
    <phoneticPr fontId="1"/>
  </si>
  <si>
    <t>日</t>
    <rPh sb="0" eb="1">
      <t>ニチ</t>
    </rPh>
    <phoneticPr fontId="1"/>
  </si>
  <si>
    <t>所定給付日数</t>
    <rPh sb="0" eb="2">
      <t>ショテイ</t>
    </rPh>
    <rPh sb="2" eb="4">
      <t>キュウフ</t>
    </rPh>
    <rPh sb="4" eb="6">
      <t>ニッスウ</t>
    </rPh>
    <phoneticPr fontId="1"/>
  </si>
  <si>
    <t>離職時の年齢</t>
    <rPh sb="0" eb="2">
      <t>リショク</t>
    </rPh>
    <rPh sb="2" eb="3">
      <t>ジ</t>
    </rPh>
    <rPh sb="4" eb="6">
      <t>ネンレイ</t>
    </rPh>
    <phoneticPr fontId="1"/>
  </si>
  <si>
    <t>①支給残日数</t>
    <rPh sb="1" eb="3">
      <t>シキュウ</t>
    </rPh>
    <rPh sb="3" eb="4">
      <t>ザン</t>
    </rPh>
    <rPh sb="4" eb="6">
      <t>ニッスウ</t>
    </rPh>
    <phoneticPr fontId="1"/>
  </si>
  <si>
    <t>離職時の年齢が６０歳未満の方</t>
    <rPh sb="0" eb="2">
      <t>リショク</t>
    </rPh>
    <rPh sb="2" eb="3">
      <t>ジ</t>
    </rPh>
    <rPh sb="4" eb="6">
      <t>ネンレイ</t>
    </rPh>
    <rPh sb="9" eb="10">
      <t>サイ</t>
    </rPh>
    <rPh sb="10" eb="12">
      <t>ミマン</t>
    </rPh>
    <rPh sb="13" eb="14">
      <t>カタ</t>
    </rPh>
    <phoneticPr fontId="1"/>
  </si>
  <si>
    <t>離職時の年齢が６０歳以上６５歳未満の方</t>
    <rPh sb="0" eb="2">
      <t>リショク</t>
    </rPh>
    <rPh sb="2" eb="3">
      <t>ジ</t>
    </rPh>
    <rPh sb="4" eb="6">
      <t>ネンレイ</t>
    </rPh>
    <rPh sb="9" eb="10">
      <t>サイ</t>
    </rPh>
    <rPh sb="10" eb="12">
      <t>イジョウ</t>
    </rPh>
    <rPh sb="14" eb="15">
      <t>サイ</t>
    </rPh>
    <rPh sb="15" eb="17">
      <t>ミマン</t>
    </rPh>
    <rPh sb="18" eb="19">
      <t>カタ</t>
    </rPh>
    <phoneticPr fontId="1"/>
  </si>
  <si>
    <t>上限額</t>
    <rPh sb="0" eb="3">
      <t>ジョウゲンガク</t>
    </rPh>
    <phoneticPr fontId="1"/>
  </si>
  <si>
    <t>円</t>
    <rPh sb="0" eb="1">
      <t>エン</t>
    </rPh>
    <phoneticPr fontId="1"/>
  </si>
  <si>
    <t>60～64歳</t>
  </si>
  <si>
    <t>60歳未満</t>
    <rPh sb="2" eb="3">
      <t>サイ</t>
    </rPh>
    <rPh sb="3" eb="5">
      <t>ミマン</t>
    </rPh>
    <phoneticPr fontId="1"/>
  </si>
  <si>
    <t>該当</t>
    <rPh sb="0" eb="2">
      <t>ガイトウ</t>
    </rPh>
    <phoneticPr fontId="1"/>
  </si>
  <si>
    <t>％</t>
    <phoneticPr fontId="1"/>
  </si>
  <si>
    <t>自己都合による退職</t>
  </si>
  <si>
    <t>５年以上１０年未満</t>
  </si>
  <si>
    <t>入力箇所　</t>
    <rPh sb="0" eb="2">
      <t>ニュウリョク</t>
    </rPh>
    <rPh sb="2" eb="4">
      <t>カショ</t>
    </rPh>
    <phoneticPr fontId="1"/>
  </si>
  <si>
    <t>２．賃金日額・基本手当日額・所定給付日数</t>
    <rPh sb="2" eb="4">
      <t>チンギン</t>
    </rPh>
    <rPh sb="4" eb="6">
      <t>ニチガク</t>
    </rPh>
    <rPh sb="7" eb="9">
      <t>キホン</t>
    </rPh>
    <rPh sb="9" eb="11">
      <t>テアテ</t>
    </rPh>
    <rPh sb="11" eb="13">
      <t>ニチガク</t>
    </rPh>
    <rPh sb="14" eb="16">
      <t>ショテイ</t>
    </rPh>
    <rPh sb="16" eb="18">
      <t>キュウフ</t>
    </rPh>
    <rPh sb="18" eb="20">
      <t>ニッスウ</t>
    </rPh>
    <phoneticPr fontId="1"/>
  </si>
  <si>
    <t>３．就業手当の額</t>
    <rPh sb="2" eb="4">
      <t>シュウギョウ</t>
    </rPh>
    <rPh sb="4" eb="6">
      <t>テアテ</t>
    </rPh>
    <rPh sb="7" eb="8">
      <t>ガク</t>
    </rPh>
    <phoneticPr fontId="1"/>
  </si>
  <si>
    <t>就業手当の１日あたり支給額</t>
    <rPh sb="0" eb="2">
      <t>シュウギョウ</t>
    </rPh>
    <rPh sb="2" eb="4">
      <t>テアテ</t>
    </rPh>
    <rPh sb="6" eb="7">
      <t>ニチ</t>
    </rPh>
    <rPh sb="10" eb="13">
      <t>シキュウガク</t>
    </rPh>
    <phoneticPr fontId="1"/>
  </si>
  <si>
    <t>就業手当の額</t>
    <rPh sb="0" eb="2">
      <t>シュウギョウ</t>
    </rPh>
    <rPh sb="2" eb="4">
      <t>テアテ</t>
    </rPh>
    <rPh sb="5" eb="6">
      <t>ガク</t>
    </rPh>
    <phoneticPr fontId="1"/>
  </si>
  <si>
    <t>４．就業手当</t>
    <rPh sb="2" eb="4">
      <t>シュウギョウ</t>
    </rPh>
    <rPh sb="4" eb="6">
      <t>テアテ</t>
    </rPh>
    <phoneticPr fontId="1"/>
  </si>
  <si>
    <t>就業日数</t>
    <rPh sb="0" eb="2">
      <t>シュウギョウ</t>
    </rPh>
    <rPh sb="2" eb="4">
      <t>ニッスウ</t>
    </rPh>
    <phoneticPr fontId="1"/>
  </si>
  <si>
    <t>②就業手当の１日あたり支給額（基本手当日額の３０％）</t>
    <rPh sb="1" eb="3">
      <t>シュウギョウ</t>
    </rPh>
    <rPh sb="3" eb="5">
      <t>テアテ</t>
    </rPh>
    <rPh sb="7" eb="8">
      <t>ニチ</t>
    </rPh>
    <rPh sb="11" eb="14">
      <t>シキュウガク</t>
    </rPh>
    <rPh sb="15" eb="19">
      <t>キホンテアテ</t>
    </rPh>
    <rPh sb="19" eb="21">
      <t>ニチガク</t>
    </rPh>
    <phoneticPr fontId="1"/>
  </si>
  <si>
    <t>１日あたり
支給額</t>
    <rPh sb="1" eb="2">
      <t>ニチ</t>
    </rPh>
    <rPh sb="6" eb="9">
      <t>シキュウガク</t>
    </rPh>
    <phoneticPr fontId="1"/>
  </si>
  <si>
    <t>支給率（基本手当日額に対し）</t>
    <rPh sb="0" eb="3">
      <t>シキュウリツ</t>
    </rPh>
    <rPh sb="11" eb="12">
      <t>タイ</t>
    </rPh>
    <phoneticPr fontId="1"/>
  </si>
  <si>
    <t>日</t>
    <rPh sb="0" eb="1">
      <t>ニチ</t>
    </rPh>
    <phoneticPr fontId="1"/>
  </si>
  <si>
    <t>所定給付1/3</t>
    <rPh sb="0" eb="4">
      <t>ショテイキュウフ</t>
    </rPh>
    <phoneticPr fontId="1"/>
  </si>
  <si>
    <t>就業手当支給額　算出表【概算】</t>
    <rPh sb="0" eb="2">
      <t>シュウギョウ</t>
    </rPh>
    <rPh sb="2" eb="4">
      <t>テアテ</t>
    </rPh>
    <rPh sb="4" eb="7">
      <t>シキュウガク</t>
    </rPh>
    <rPh sb="8" eb="10">
      <t>サンシュツ</t>
    </rPh>
    <rPh sb="10" eb="11">
      <t>ヒョウ</t>
    </rPh>
    <rPh sb="12" eb="14">
      <t>ガイサン</t>
    </rPh>
    <phoneticPr fontId="1"/>
  </si>
  <si>
    <t>※令和５年８月１日現在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</si>
</sst>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177" fontId="0" fillId="0" borderId="9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7" fontId="0" fillId="0" borderId="7" xfId="0" applyNumberFormat="1" applyBorder="1">
      <alignment vertical="center"/>
    </xf>
    <xf numFmtId="177" fontId="0" fillId="2" borderId="9" xfId="0" applyNumberFormat="1" applyFill="1" applyBorder="1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2" xfId="0" applyNumberFormat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0" fillId="2" borderId="8" xfId="0" applyNumberForma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77" fontId="0" fillId="2" borderId="0" xfId="0" applyNumberFormat="1" applyFill="1">
      <alignment vertical="center"/>
    </xf>
    <xf numFmtId="177" fontId="0" fillId="2" borderId="0" xfId="0" applyNumberFormat="1" applyFill="1" applyAlignment="1">
      <alignment horizontal="right" vertical="center"/>
    </xf>
    <xf numFmtId="178" fontId="0" fillId="2" borderId="0" xfId="0" applyNumberFormat="1" applyFill="1" applyAlignment="1">
      <alignment horizontal="center" vertical="center"/>
    </xf>
    <xf numFmtId="178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8"/>
  <sheetViews>
    <sheetView tabSelected="1" workbookViewId="0">
      <selection activeCell="F6" sqref="F6"/>
    </sheetView>
  </sheetViews>
  <sheetFormatPr defaultRowHeight="13.5" x14ac:dyDescent="0.15"/>
  <cols>
    <col min="1" max="1" width="3.25" customWidth="1"/>
    <col min="2" max="2" width="3.5" customWidth="1"/>
    <col min="3" max="3" width="27.625" customWidth="1"/>
    <col min="4" max="4" width="18" style="3" customWidth="1"/>
    <col min="5" max="5" width="6.125" style="3" customWidth="1"/>
    <col min="6" max="6" width="14.625" style="3" customWidth="1"/>
    <col min="7" max="7" width="4.875" customWidth="1"/>
    <col min="8" max="8" width="4.25" style="2" customWidth="1"/>
  </cols>
  <sheetData>
    <row r="1" spans="1:6" ht="30" customHeight="1" x14ac:dyDescent="0.15">
      <c r="A1" s="4" t="s">
        <v>82</v>
      </c>
    </row>
    <row r="2" spans="1:6" ht="15" customHeight="1" x14ac:dyDescent="0.15">
      <c r="A2" s="4"/>
    </row>
    <row r="3" spans="1:6" x14ac:dyDescent="0.15">
      <c r="C3" s="28" t="s">
        <v>70</v>
      </c>
      <c r="D3" s="30"/>
      <c r="E3" s="16"/>
      <c r="F3" s="29"/>
    </row>
    <row r="4" spans="1:6" ht="21.75" customHeight="1" x14ac:dyDescent="0.15">
      <c r="A4" s="8" t="s">
        <v>0</v>
      </c>
    </row>
    <row r="5" spans="1:6" ht="9" customHeight="1" x14ac:dyDescent="0.15"/>
    <row r="6" spans="1:6" ht="21.75" customHeight="1" x14ac:dyDescent="0.15">
      <c r="B6" s="39" t="s">
        <v>58</v>
      </c>
      <c r="C6" s="40"/>
      <c r="D6" s="23" t="s">
        <v>45</v>
      </c>
      <c r="E6" s="14" t="s">
        <v>2</v>
      </c>
      <c r="F6" s="9"/>
    </row>
    <row r="7" spans="1:6" ht="21.75" customHeight="1" x14ac:dyDescent="0.15">
      <c r="B7" s="36" t="s">
        <v>3</v>
      </c>
      <c r="C7" s="37"/>
      <c r="D7" s="15">
        <v>300000</v>
      </c>
      <c r="E7" s="6" t="s">
        <v>1</v>
      </c>
      <c r="F7" s="9"/>
    </row>
    <row r="8" spans="1:6" ht="21.75" customHeight="1" x14ac:dyDescent="0.15">
      <c r="B8" s="12" t="s">
        <v>28</v>
      </c>
      <c r="C8" s="13"/>
      <c r="D8" s="15" t="s">
        <v>69</v>
      </c>
      <c r="E8" s="6" t="s">
        <v>31</v>
      </c>
      <c r="F8" s="9"/>
    </row>
    <row r="9" spans="1:6" ht="21.75" customHeight="1" x14ac:dyDescent="0.15">
      <c r="B9" s="12" t="s">
        <v>30</v>
      </c>
      <c r="C9" s="13"/>
      <c r="D9" s="41" t="s">
        <v>68</v>
      </c>
      <c r="E9" s="42"/>
      <c r="F9" s="9"/>
    </row>
    <row r="10" spans="1:6" ht="15.95" customHeight="1" x14ac:dyDescent="0.15"/>
    <row r="11" spans="1:6" ht="21.75" customHeight="1" x14ac:dyDescent="0.15">
      <c r="A11" s="8" t="s">
        <v>71</v>
      </c>
    </row>
    <row r="12" spans="1:6" ht="9" customHeight="1" x14ac:dyDescent="0.15"/>
    <row r="13" spans="1:6" ht="21.75" customHeight="1" x14ac:dyDescent="0.15">
      <c r="B13" s="36" t="s">
        <v>16</v>
      </c>
      <c r="C13" s="37"/>
      <c r="D13" s="7">
        <f>計算シート!C13</f>
        <v>10000</v>
      </c>
      <c r="E13" s="6" t="s">
        <v>1</v>
      </c>
      <c r="F13" s="10"/>
    </row>
    <row r="14" spans="1:6" ht="23.25" customHeight="1" x14ac:dyDescent="0.15">
      <c r="B14" s="36" t="s">
        <v>29</v>
      </c>
      <c r="C14" s="37"/>
      <c r="D14" s="7">
        <f>計算シート!D26+計算シート!E26+計算シート!I26+計算シート!J26</f>
        <v>6036</v>
      </c>
      <c r="E14" s="11" t="s">
        <v>4</v>
      </c>
    </row>
    <row r="15" spans="1:6" ht="21.75" customHeight="1" x14ac:dyDescent="0.15">
      <c r="B15" s="36" t="s">
        <v>57</v>
      </c>
      <c r="C15" s="37"/>
      <c r="D15" s="7">
        <f>計算シート!C38+計算シート!C60</f>
        <v>90</v>
      </c>
      <c r="E15" s="6" t="s">
        <v>1</v>
      </c>
      <c r="F15" s="10"/>
    </row>
    <row r="17" spans="1:8" ht="21.75" customHeight="1" x14ac:dyDescent="0.15">
      <c r="A17" s="8" t="s">
        <v>72</v>
      </c>
    </row>
    <row r="18" spans="1:8" ht="9" customHeight="1" x14ac:dyDescent="0.15"/>
    <row r="19" spans="1:8" ht="21.75" customHeight="1" x14ac:dyDescent="0.15">
      <c r="B19" s="36" t="s">
        <v>76</v>
      </c>
      <c r="C19" s="37"/>
      <c r="D19" s="15">
        <v>45</v>
      </c>
      <c r="E19" s="6" t="s">
        <v>56</v>
      </c>
      <c r="F19" s="10"/>
    </row>
    <row r="20" spans="1:8" ht="23.25" customHeight="1" x14ac:dyDescent="0.15">
      <c r="B20" s="36" t="s">
        <v>73</v>
      </c>
      <c r="C20" s="37"/>
      <c r="D20" s="7">
        <f>計算シート!E88</f>
        <v>1810</v>
      </c>
      <c r="E20" s="11" t="s">
        <v>1</v>
      </c>
    </row>
    <row r="21" spans="1:8" ht="23.25" customHeight="1" x14ac:dyDescent="0.15">
      <c r="B21" s="36" t="s">
        <v>79</v>
      </c>
      <c r="C21" s="38"/>
      <c r="D21" s="7">
        <v>30</v>
      </c>
      <c r="E21" s="11" t="s">
        <v>67</v>
      </c>
    </row>
    <row r="22" spans="1:8" ht="23.25" customHeight="1" x14ac:dyDescent="0.15">
      <c r="B22" s="36" t="s">
        <v>74</v>
      </c>
      <c r="C22" s="37"/>
      <c r="D22" s="7">
        <f>IF(AND($D$19&gt;=計算シート!C75,$D$19&gt;=45),D19*D20,0)</f>
        <v>81450</v>
      </c>
      <c r="E22" s="11" t="s">
        <v>1</v>
      </c>
    </row>
    <row r="28" spans="1:8" x14ac:dyDescent="0.15">
      <c r="H28"/>
    </row>
  </sheetData>
  <dataConsolidate/>
  <mergeCells count="10">
    <mergeCell ref="B14:C14"/>
    <mergeCell ref="B6:C6"/>
    <mergeCell ref="B7:C7"/>
    <mergeCell ref="B13:C13"/>
    <mergeCell ref="D9:E9"/>
    <mergeCell ref="B15:C15"/>
    <mergeCell ref="B19:C19"/>
    <mergeCell ref="B20:C20"/>
    <mergeCell ref="B22:C22"/>
    <mergeCell ref="B21:C21"/>
  </mergeCells>
  <phoneticPr fontId="1"/>
  <dataValidations count="2">
    <dataValidation type="list" allowBlank="1" showInputMessage="1" showErrorMessage="1" sqref="D9:E9" xr:uid="{00000000-0002-0000-0000-000000000000}">
      <formula1>"自己都合による退職,会社都合等による退職"</formula1>
    </dataValidation>
    <dataValidation type="list" allowBlank="1" showInputMessage="1" showErrorMessage="1" sqref="D8" xr:uid="{00000000-0002-0000-0000-000001000000}">
      <formula1>"１年未満,１年以上５年未満,５年以上１０年未満,１０年以上２０年未満,２０年以上"</formula1>
    </dataValidation>
  </dataValidations>
  <pageMargins left="0.7" right="0.4" top="0.66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計算シート!$B$46:$B$50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8"/>
  <sheetViews>
    <sheetView topLeftCell="A76" workbookViewId="0">
      <selection activeCell="I87" sqref="I87"/>
    </sheetView>
  </sheetViews>
  <sheetFormatPr defaultRowHeight="13.5" x14ac:dyDescent="0.15"/>
  <cols>
    <col min="1" max="1" width="3.125" customWidth="1"/>
    <col min="2" max="2" width="11.875" customWidth="1"/>
    <col min="3" max="3" width="9.5" customWidth="1"/>
    <col min="4" max="4" width="10.25" style="1" customWidth="1"/>
    <col min="5" max="10" width="10.25" customWidth="1"/>
  </cols>
  <sheetData>
    <row r="1" spans="1:10" x14ac:dyDescent="0.15">
      <c r="A1" t="s">
        <v>5</v>
      </c>
    </row>
    <row r="4" spans="1:10" x14ac:dyDescent="0.15">
      <c r="A4" t="s">
        <v>6</v>
      </c>
    </row>
    <row r="5" spans="1:10" x14ac:dyDescent="0.15">
      <c r="B5" t="s">
        <v>7</v>
      </c>
    </row>
    <row r="7" spans="1:10" x14ac:dyDescent="0.15">
      <c r="C7" s="1" t="s">
        <v>14</v>
      </c>
      <c r="D7" s="1" t="s">
        <v>12</v>
      </c>
      <c r="E7" s="1" t="s">
        <v>13</v>
      </c>
      <c r="G7" s="1"/>
      <c r="H7" s="1"/>
      <c r="J7" s="1" t="s">
        <v>15</v>
      </c>
    </row>
    <row r="8" spans="1:10" x14ac:dyDescent="0.15">
      <c r="B8" t="s">
        <v>8</v>
      </c>
      <c r="C8" s="16">
        <f>IF(就業手当算出表!$D$6="29歳以下",1,0)</f>
        <v>0</v>
      </c>
      <c r="D8" s="31">
        <v>13890</v>
      </c>
      <c r="E8" s="31">
        <v>2746</v>
      </c>
      <c r="F8" s="16"/>
      <c r="G8" s="16">
        <f>IF(ROUNDDOWN(就業手当算出表!$D$7/30,0)&gt;=D8,D8,0)</f>
        <v>0</v>
      </c>
      <c r="H8" s="16">
        <f>IF(ROUNDDOWN(就業手当算出表!$D$7/30,0)&lt;=E8,E8,0)</f>
        <v>0</v>
      </c>
      <c r="I8" s="16">
        <f>IF(AND(ROUNDDOWN(就業手当算出表!$D$7/30,0)&gt;E8,ROUNDDOWN(就業手当算出表!$D$7/30,0)&lt;D8),ROUNDDOWN(就業手当算出表!$D$7/30,0),0)</f>
        <v>10000</v>
      </c>
      <c r="J8" s="16">
        <f>IF(C8=1,G8+H8+I8,0)</f>
        <v>0</v>
      </c>
    </row>
    <row r="9" spans="1:10" x14ac:dyDescent="0.15">
      <c r="B9" t="s">
        <v>9</v>
      </c>
      <c r="C9" s="16">
        <f>IF(OR(就業手当算出表!$D$6="30～34歳",就業手当算出表!$D$6="35～44歳"),1,0)</f>
        <v>1</v>
      </c>
      <c r="D9" s="31">
        <v>15430</v>
      </c>
      <c r="E9" s="31">
        <v>2746</v>
      </c>
      <c r="F9" s="16"/>
      <c r="G9" s="16">
        <f>IF(ROUNDDOWN(就業手当算出表!$D$7/30,0)&gt;=D9,D9,0)</f>
        <v>0</v>
      </c>
      <c r="H9" s="16">
        <f>IF(ROUNDDOWN(就業手当算出表!$D$7/30,0)&lt;=E9,E9,0)</f>
        <v>0</v>
      </c>
      <c r="I9" s="16">
        <f>IF(AND(ROUNDDOWN(就業手当算出表!$D$7/30,0)&gt;E9,ROUNDDOWN(就業手当算出表!$D$7/30,0)&lt;D9),ROUNDDOWN(就業手当算出表!$D$7/30,0),0)</f>
        <v>10000</v>
      </c>
      <c r="J9" s="16">
        <f>IF(C9=1,G9+H9+I9,0)</f>
        <v>10000</v>
      </c>
    </row>
    <row r="10" spans="1:10" x14ac:dyDescent="0.15">
      <c r="B10" t="s">
        <v>10</v>
      </c>
      <c r="C10" s="16">
        <f>IF(就業手当算出表!$D$6="45～59歳",1,0)</f>
        <v>0</v>
      </c>
      <c r="D10" s="31">
        <v>16980</v>
      </c>
      <c r="E10" s="31">
        <v>2746</v>
      </c>
      <c r="F10" s="16"/>
      <c r="G10" s="16">
        <f>IF(ROUNDDOWN(就業手当算出表!$D$7/30,0)&gt;=D10,D10,0)</f>
        <v>0</v>
      </c>
      <c r="H10" s="16">
        <f>IF(ROUNDDOWN(就業手当算出表!$D$7/30,0)&lt;=E10,E10,0)</f>
        <v>0</v>
      </c>
      <c r="I10" s="16">
        <f>IF(AND(ROUNDDOWN(就業手当算出表!$D$7/30,0)&gt;E10,ROUNDDOWN(就業手当算出表!$D$7/30,0)&lt;D10),ROUNDDOWN(就業手当算出表!$D$7/30,0),0)</f>
        <v>10000</v>
      </c>
      <c r="J10" s="16">
        <f>IF(C10=1,G10+H10+I10,0)</f>
        <v>0</v>
      </c>
    </row>
    <row r="11" spans="1:10" x14ac:dyDescent="0.15">
      <c r="B11" t="s">
        <v>11</v>
      </c>
      <c r="C11" s="16">
        <f>IF(就業手当算出表!$D$6="60～64歳",1,0)</f>
        <v>0</v>
      </c>
      <c r="D11" s="31">
        <v>16210</v>
      </c>
      <c r="E11" s="31">
        <v>2746</v>
      </c>
      <c r="F11" s="16"/>
      <c r="G11" s="16">
        <f>IF(ROUNDDOWN(就業手当算出表!$D$7/30,0)&gt;=D11,D11,0)</f>
        <v>0</v>
      </c>
      <c r="H11" s="16">
        <f>IF(ROUNDDOWN(就業手当算出表!$D$7/30,0)&lt;=E11,E11,0)</f>
        <v>0</v>
      </c>
      <c r="I11" s="16">
        <f>IF(AND(ROUNDDOWN(就業手当算出表!$D$7/30,0)&gt;E11,ROUNDDOWN(就業手当算出表!$D$7/30,0)&lt;D11),ROUNDDOWN(就業手当算出表!$D$7/30,0),0)</f>
        <v>10000</v>
      </c>
      <c r="J11" s="16">
        <f>IF(C11=1,G11+H11+I11,0)</f>
        <v>0</v>
      </c>
    </row>
    <row r="13" spans="1:10" x14ac:dyDescent="0.15">
      <c r="B13" s="5" t="s">
        <v>16</v>
      </c>
      <c r="C13" s="17">
        <f>SUM(J8:J11)</f>
        <v>10000</v>
      </c>
      <c r="D13" s="6" t="s">
        <v>4</v>
      </c>
    </row>
    <row r="14" spans="1:10" x14ac:dyDescent="0.15">
      <c r="D14"/>
    </row>
    <row r="15" spans="1:10" x14ac:dyDescent="0.15">
      <c r="D15"/>
    </row>
    <row r="16" spans="1:10" x14ac:dyDescent="0.15">
      <c r="A16" t="s">
        <v>17</v>
      </c>
    </row>
    <row r="18" spans="1:10" x14ac:dyDescent="0.15">
      <c r="B18" t="s">
        <v>16</v>
      </c>
      <c r="C18" s="1"/>
      <c r="D18" s="1" t="s">
        <v>19</v>
      </c>
      <c r="E18" s="1" t="s">
        <v>20</v>
      </c>
      <c r="F18" s="1"/>
      <c r="G18" s="43" t="s">
        <v>21</v>
      </c>
      <c r="H18" s="43"/>
      <c r="I18" s="43"/>
      <c r="J18" s="1" t="s">
        <v>22</v>
      </c>
    </row>
    <row r="19" spans="1:10" x14ac:dyDescent="0.15">
      <c r="B19" t="s">
        <v>23</v>
      </c>
      <c r="C19" s="1"/>
      <c r="D19" s="1" t="s">
        <v>9</v>
      </c>
      <c r="E19" s="1" t="s">
        <v>10</v>
      </c>
      <c r="F19" s="1"/>
      <c r="G19" s="43" t="s">
        <v>11</v>
      </c>
      <c r="H19" s="43"/>
      <c r="I19" s="43"/>
      <c r="J19" t="s">
        <v>18</v>
      </c>
    </row>
    <row r="20" spans="1:10" x14ac:dyDescent="0.15">
      <c r="C20" s="1" t="s">
        <v>14</v>
      </c>
      <c r="D20" s="18">
        <f>IF(OR(就業手当算出表!$D$6="30～34歳",就業手当算出表!$D$6="35～44歳"),1,0)</f>
        <v>1</v>
      </c>
      <c r="E20" s="18">
        <f>IF(就業手当算出表!$D$6="45～59歳",1,0)</f>
        <v>0</v>
      </c>
      <c r="F20" s="18"/>
      <c r="G20" s="46">
        <f>IF(就業手当算出表!$D$6="60～64歳",1,0)</f>
        <v>0</v>
      </c>
      <c r="H20" s="46">
        <f>IF(就業手当算出表!$D$6="60～64歳",1,0)</f>
        <v>0</v>
      </c>
      <c r="I20" s="46">
        <f>IF(就業手当算出表!$D$6="60～64歳",1,0)</f>
        <v>0</v>
      </c>
      <c r="J20" s="18">
        <f>IF(就業手当算出表!$D$6="29歳以下",1,0)</f>
        <v>0</v>
      </c>
    </row>
    <row r="21" spans="1:10" x14ac:dyDescent="0.15">
      <c r="B21" t="s">
        <v>24</v>
      </c>
      <c r="C21" s="16"/>
      <c r="D21" s="32">
        <f>IF(AND(計算シート!$C$13&gt;=2746,計算シート!$C$13&lt;5110),ROUNDDOWN(0.8*計算シート!$C$13,0),0)</f>
        <v>0</v>
      </c>
      <c r="E21" s="33">
        <f>IF(AND(計算シート!$C$13&gt;=2746,計算シート!$C$13&lt;5110),ROUNDDOWN(0.8*計算シート!$C$13,0),0)</f>
        <v>0</v>
      </c>
      <c r="F21" s="19"/>
      <c r="G21" s="33">
        <f>IF(AND(計算シート!$C$13&gt;=2746,計算シート!$C$13&lt;5110),ROUNDDOWN(0.8*計算シート!$C$13,0),0)</f>
        <v>0</v>
      </c>
      <c r="H21" s="19"/>
      <c r="I21" s="19">
        <f>G21</f>
        <v>0</v>
      </c>
      <c r="J21" s="33">
        <f>IF(AND(計算シート!$C$13&gt;=2746,計算シート!$C$13&lt;5110),ROUNDDOWN(0.8*計算シート!$C$13,0),0)</f>
        <v>0</v>
      </c>
    </row>
    <row r="22" spans="1:10" x14ac:dyDescent="0.15">
      <c r="B22" t="s">
        <v>25</v>
      </c>
      <c r="C22" s="16"/>
      <c r="D22" s="32">
        <f>IF(AND(計算シート!$C$13&gt;=5110,計算シート!$C$13&lt;=12580),ROUNDDOWN(0.8*計算シート!$C$13-(0.3*($C$13-5110)/(12580-5110))*$C$13,0),0)</f>
        <v>6036</v>
      </c>
      <c r="E22" s="33">
        <f>IF(AND(計算シート!$C$13&gt;=5110,計算シート!$C$13&lt;=12580),ROUNDDOWN(0.8*計算シート!$C$13-(0.3*($C$13-5110)/(12580-5110))*$C$13,0),0)</f>
        <v>6036</v>
      </c>
      <c r="F22" s="19"/>
      <c r="G22" s="33">
        <f>IF(AND(計算シート!$C$13&gt;=5110,計算シート!$C$13&lt;=11300),ROUNDDOWN(0.8*計算シート!$C$13-(0.35*($C$13-5110)/(11300-5110))*$C$13,0),0)</f>
        <v>5235</v>
      </c>
      <c r="H22" s="33">
        <f>IF(AND(計算シート!$C$13&gt;=5110,計算シート!$C$13&lt;=11300),ROUNDDOWN(0.05*計算シート!$C$13+(11300*0.4),0),0)</f>
        <v>5020</v>
      </c>
      <c r="I22" s="19">
        <f>MIN(G22:H22)</f>
        <v>5020</v>
      </c>
      <c r="J22" s="33">
        <f>IF(AND(計算シート!$C$13&gt;=5110,計算シート!$C$13&lt;=12580),ROUNDDOWN(0.8*計算シート!$C$13-(0.3*($C$13-5110)/(12580-5110))*$C$13,0),0)</f>
        <v>6036</v>
      </c>
    </row>
    <row r="23" spans="1:10" x14ac:dyDescent="0.15">
      <c r="B23" t="s">
        <v>26</v>
      </c>
      <c r="C23" s="16"/>
      <c r="D23" s="32">
        <f>IF(AND(計算シート!$C$13&gt;12580,計算シート!$C$13&lt;=15430),ROUNDDOWN(0.5*計算シート!$C$13,0),0)</f>
        <v>0</v>
      </c>
      <c r="E23" s="33">
        <f>IF(AND(計算シート!$C$13&gt;12580,計算シート!$C$13&lt;=16980),ROUNDDOWN(0.5*計算シート!$C$13,0),0)</f>
        <v>0</v>
      </c>
      <c r="F23" s="19"/>
      <c r="G23" s="33">
        <f>IF(AND(計算シート!$C$13&gt;11300,計算シート!$C$13&lt;=16210),ROUNDDOWN(0.45*計算シート!$C$13,0),0)</f>
        <v>0</v>
      </c>
      <c r="H23" s="19"/>
      <c r="I23" s="19">
        <f>G23</f>
        <v>0</v>
      </c>
      <c r="J23" s="33">
        <f>IF(AND(計算シート!$C$13&gt;12580,計算シート!$C$13&lt;=13890),ROUNDDOWN(0.5*計算シート!$C$13,0),0)</f>
        <v>0</v>
      </c>
    </row>
    <row r="24" spans="1:10" x14ac:dyDescent="0.15">
      <c r="B24" t="s">
        <v>27</v>
      </c>
      <c r="C24" s="16"/>
      <c r="D24" s="32">
        <f>IF(計算シート!$C$13&gt;15430,7715,0)</f>
        <v>0</v>
      </c>
      <c r="E24" s="33">
        <f>IF(計算シート!$C$13&gt;16980,8490,0)</f>
        <v>0</v>
      </c>
      <c r="F24" s="19"/>
      <c r="G24" s="33">
        <f>IF(計算シート!$C$13&gt;16210,7294,0)</f>
        <v>0</v>
      </c>
      <c r="H24" s="19"/>
      <c r="I24" s="19">
        <f>G24</f>
        <v>0</v>
      </c>
      <c r="J24" s="33">
        <f>IF(計算シート!$C$13&gt;13890,6945,0)</f>
        <v>0</v>
      </c>
    </row>
    <row r="25" spans="1:10" x14ac:dyDescent="0.15">
      <c r="D25" s="18"/>
      <c r="E25" s="19"/>
      <c r="F25" s="19"/>
      <c r="G25" s="19"/>
      <c r="H25" s="19"/>
      <c r="I25" s="19"/>
      <c r="J25" s="19"/>
    </row>
    <row r="26" spans="1:10" x14ac:dyDescent="0.15">
      <c r="C26" t="s">
        <v>15</v>
      </c>
      <c r="D26" s="18">
        <f>IF(D20=1,D21+D22+D23+D24,0)</f>
        <v>6036</v>
      </c>
      <c r="E26" s="19">
        <f>IF(E20=1,E21+E22+E23+E24,0)</f>
        <v>0</v>
      </c>
      <c r="F26" s="19"/>
      <c r="G26" s="19"/>
      <c r="H26" s="19"/>
      <c r="I26" s="19">
        <f>IF(G20=1,I21+I22+I23+I24,0)</f>
        <v>0</v>
      </c>
      <c r="J26" s="19">
        <f>IF(J20=1,J21+J22+J23+J24,0)</f>
        <v>0</v>
      </c>
    </row>
    <row r="28" spans="1:10" x14ac:dyDescent="0.15">
      <c r="A28" t="s">
        <v>35</v>
      </c>
    </row>
    <row r="30" spans="1:10" x14ac:dyDescent="0.15">
      <c r="B30" t="s">
        <v>32</v>
      </c>
    </row>
    <row r="31" spans="1:10" x14ac:dyDescent="0.15">
      <c r="B31" t="s">
        <v>37</v>
      </c>
    </row>
    <row r="33" spans="2:7" x14ac:dyDescent="0.15">
      <c r="C33" s="43" t="s">
        <v>36</v>
      </c>
      <c r="D33" s="43"/>
      <c r="E33" s="43"/>
      <c r="F33" s="43"/>
      <c r="G33" s="43"/>
    </row>
    <row r="34" spans="2:7" ht="24" x14ac:dyDescent="0.15">
      <c r="C34" s="21" t="s">
        <v>38</v>
      </c>
      <c r="D34" s="20" t="s">
        <v>39</v>
      </c>
      <c r="E34" s="20" t="s">
        <v>40</v>
      </c>
      <c r="F34" s="20" t="s">
        <v>41</v>
      </c>
      <c r="G34" s="22" t="s">
        <v>42</v>
      </c>
    </row>
    <row r="35" spans="2:7" ht="21" customHeight="1" x14ac:dyDescent="0.15">
      <c r="B35" t="s">
        <v>43</v>
      </c>
      <c r="C35" s="1">
        <v>0</v>
      </c>
      <c r="D35" s="1">
        <v>90</v>
      </c>
      <c r="E35" s="1">
        <v>90</v>
      </c>
      <c r="F35" s="1">
        <v>120</v>
      </c>
      <c r="G35" s="1">
        <v>150</v>
      </c>
    </row>
    <row r="36" spans="2:7" ht="21" customHeight="1" x14ac:dyDescent="0.15">
      <c r="B36" t="s">
        <v>51</v>
      </c>
      <c r="C36" s="1">
        <f>IF(AND(就業手当算出表!$D$9="自己都合による退職",就業手当算出表!$D$8="１年未満"),計算シート!C35,0)</f>
        <v>0</v>
      </c>
      <c r="D36" s="1">
        <f>IF(AND(就業手当算出表!$D$9="自己都合による退職",就業手当算出表!$D$8="１年以上５年未満"),計算シート!D35,0)</f>
        <v>0</v>
      </c>
      <c r="E36" s="1">
        <f>IF(AND(就業手当算出表!$D$9="自己都合による退職",就業手当算出表!$D$8="５年以上１０年未満"),計算シート!E35,0)</f>
        <v>90</v>
      </c>
      <c r="F36" s="1">
        <f>IF(AND(就業手当算出表!$D$9="自己都合による退職",就業手当算出表!$D$8="１０年以上２０年未満"),計算シート!F35,0)</f>
        <v>0</v>
      </c>
      <c r="G36" s="1">
        <f>IF(AND(就業手当算出表!$D$9="自己都合による退職",就業手当算出表!$D$8="２０年以上"),計算シート!G35,0)</f>
        <v>0</v>
      </c>
    </row>
    <row r="37" spans="2:7" ht="21" customHeight="1" x14ac:dyDescent="0.15">
      <c r="C37" s="1"/>
      <c r="E37" s="1"/>
      <c r="F37" s="1"/>
      <c r="G37" s="1"/>
    </row>
    <row r="38" spans="2:7" ht="21" customHeight="1" x14ac:dyDescent="0.15">
      <c r="B38" s="5" t="s">
        <v>54</v>
      </c>
      <c r="C38" s="26">
        <f>SUM(C36:G36)</f>
        <v>90</v>
      </c>
      <c r="D38" s="25" t="s">
        <v>55</v>
      </c>
      <c r="E38" s="1"/>
      <c r="F38" s="1"/>
      <c r="G38" s="1"/>
    </row>
    <row r="39" spans="2:7" ht="21" customHeight="1" x14ac:dyDescent="0.15">
      <c r="C39" s="1"/>
      <c r="E39" s="1"/>
      <c r="F39" s="1"/>
      <c r="G39" s="1"/>
    </row>
    <row r="42" spans="2:7" x14ac:dyDescent="0.15">
      <c r="B42" t="s">
        <v>33</v>
      </c>
    </row>
    <row r="44" spans="2:7" x14ac:dyDescent="0.15">
      <c r="C44" s="43" t="s">
        <v>36</v>
      </c>
      <c r="D44" s="43"/>
      <c r="E44" s="43"/>
      <c r="F44" s="43"/>
      <c r="G44" s="43"/>
    </row>
    <row r="45" spans="2:7" ht="24" x14ac:dyDescent="0.15">
      <c r="C45" s="21" t="s">
        <v>38</v>
      </c>
      <c r="D45" s="20" t="s">
        <v>39</v>
      </c>
      <c r="E45" s="20" t="s">
        <v>40</v>
      </c>
      <c r="F45" s="20" t="s">
        <v>41</v>
      </c>
      <c r="G45" s="22" t="s">
        <v>42</v>
      </c>
    </row>
    <row r="46" spans="2:7" x14ac:dyDescent="0.15">
      <c r="B46" t="s">
        <v>44</v>
      </c>
      <c r="C46" s="43">
        <v>90</v>
      </c>
      <c r="D46" s="1">
        <v>90</v>
      </c>
      <c r="E46" s="1">
        <v>120</v>
      </c>
      <c r="F46" s="1">
        <v>180</v>
      </c>
      <c r="G46" s="1">
        <v>0</v>
      </c>
    </row>
    <row r="47" spans="2:7" x14ac:dyDescent="0.15">
      <c r="B47" t="s">
        <v>45</v>
      </c>
      <c r="C47" s="43"/>
      <c r="D47" s="1">
        <v>120</v>
      </c>
      <c r="E47" s="1">
        <v>180</v>
      </c>
      <c r="F47" s="1">
        <v>210</v>
      </c>
      <c r="G47" s="1">
        <v>240</v>
      </c>
    </row>
    <row r="48" spans="2:7" x14ac:dyDescent="0.15">
      <c r="B48" t="s">
        <v>46</v>
      </c>
      <c r="C48" s="43"/>
      <c r="D48" s="1">
        <v>150</v>
      </c>
      <c r="E48" s="1">
        <v>180</v>
      </c>
      <c r="F48" s="1">
        <v>240</v>
      </c>
      <c r="G48" s="1">
        <v>270</v>
      </c>
    </row>
    <row r="49" spans="2:8" x14ac:dyDescent="0.15">
      <c r="B49" t="s">
        <v>47</v>
      </c>
      <c r="C49" s="43"/>
      <c r="D49" s="1">
        <v>180</v>
      </c>
      <c r="E49" s="1">
        <v>240</v>
      </c>
      <c r="F49" s="1">
        <v>270</v>
      </c>
      <c r="G49" s="1">
        <v>330</v>
      </c>
    </row>
    <row r="50" spans="2:8" x14ac:dyDescent="0.15">
      <c r="B50" t="s">
        <v>48</v>
      </c>
      <c r="C50" s="43"/>
      <c r="D50" s="1">
        <v>150</v>
      </c>
      <c r="E50" s="1">
        <v>180</v>
      </c>
      <c r="F50" s="1">
        <v>210</v>
      </c>
      <c r="G50" s="1">
        <v>240</v>
      </c>
    </row>
    <row r="51" spans="2:8" x14ac:dyDescent="0.15">
      <c r="C51" s="1"/>
      <c r="E51" s="1"/>
      <c r="F51" s="1"/>
      <c r="G51" s="1"/>
    </row>
    <row r="52" spans="2:8" x14ac:dyDescent="0.15">
      <c r="B52" t="s">
        <v>52</v>
      </c>
      <c r="C52" s="1">
        <f>IF(AND(就業手当算出表!$D$9="会社都合等による退職",就業手当算出表!$D$8="１年未満"),計算シート!C46,0)</f>
        <v>0</v>
      </c>
      <c r="D52" s="1">
        <f>IF(AND(就業手当算出表!$D$9="会社都合等による退職",就業手当算出表!$D$8="１年以上５年未満"),1,0)</f>
        <v>0</v>
      </c>
      <c r="E52" s="1">
        <f>IF(AND(就業手当算出表!$D$9="会社都合等による退職",就業手当算出表!$D$8="５年以上１０年未満"),1,0)</f>
        <v>0</v>
      </c>
      <c r="F52" s="1">
        <f>IF(AND(就業手当算出表!$D$9="会社都合等による退職",就業手当算出表!$D$8="１０年以上２０年未満"),1,0)</f>
        <v>0</v>
      </c>
      <c r="G52" s="1">
        <f>IF(AND(就業手当算出表!$D$9="会社都合等による退職",就業手当算出表!$D$8="２０年以上"),1,0)</f>
        <v>0</v>
      </c>
    </row>
    <row r="53" spans="2:8" x14ac:dyDescent="0.15">
      <c r="B53" t="s">
        <v>44</v>
      </c>
      <c r="C53" s="1"/>
      <c r="D53" s="1">
        <f>IF(AND($D$52=1,就業手当算出表!$D$6="29歳以下"),D46,0)</f>
        <v>0</v>
      </c>
      <c r="E53" s="1">
        <f>IF(AND($E$52=1,就業手当算出表!$D$6="29歳以下"),E46,0)</f>
        <v>0</v>
      </c>
      <c r="F53" s="1">
        <f>IF(AND($F$52=1,就業手当算出表!$D$6="29歳以下"),F46,0)</f>
        <v>0</v>
      </c>
      <c r="G53" s="1">
        <f>IF(AND($G$52=1,就業手当算出表!$D$6="29歳以下"),G46,0)</f>
        <v>0</v>
      </c>
    </row>
    <row r="54" spans="2:8" x14ac:dyDescent="0.15">
      <c r="B54" t="s">
        <v>45</v>
      </c>
      <c r="C54" s="1"/>
      <c r="D54" s="1">
        <f>IF(AND($D$52=1,就業手当算出表!$D$6="30～34歳"),D47,0)</f>
        <v>0</v>
      </c>
      <c r="E54" s="1">
        <f>IF(AND($E$52=1,就業手当算出表!$D$6="30～34歳"),E47,0)</f>
        <v>0</v>
      </c>
      <c r="F54" s="1">
        <f>IF(AND($F$52=1,就業手当算出表!$D$6="30～34歳"),F47,0)</f>
        <v>0</v>
      </c>
      <c r="G54" s="1">
        <f>IF(AND($G$52=1,就業手当算出表!$D$6="30～34歳"),G47,0)</f>
        <v>0</v>
      </c>
    </row>
    <row r="55" spans="2:8" x14ac:dyDescent="0.15">
      <c r="B55" t="s">
        <v>46</v>
      </c>
      <c r="C55" s="1"/>
      <c r="D55" s="1">
        <f>IF(AND($D$52=1,就業手当算出表!$D$6="35～44歳"),D48,0)</f>
        <v>0</v>
      </c>
      <c r="E55" s="1">
        <f>IF(AND($E$52=1,就業手当算出表!$D$6="35～44歳"),E48,0)</f>
        <v>0</v>
      </c>
      <c r="F55" s="1">
        <f>IF(AND($F$52=1,就業手当算出表!$D$6="35～44歳"),F48,0)</f>
        <v>0</v>
      </c>
      <c r="G55" s="1">
        <f>IF(AND($G$52=1,就業手当算出表!$D$6="35～44歳"),G48,0)</f>
        <v>0</v>
      </c>
    </row>
    <row r="56" spans="2:8" x14ac:dyDescent="0.15">
      <c r="B56" t="s">
        <v>47</v>
      </c>
      <c r="C56" s="1"/>
      <c r="D56" s="1">
        <f>IF(AND($D$52=1,就業手当算出表!$D$6="45～59歳"),D49,0)</f>
        <v>0</v>
      </c>
      <c r="E56" s="1">
        <f>IF(AND($E$52=1,就業手当算出表!$D$6="45～59歳"),E49,0)</f>
        <v>0</v>
      </c>
      <c r="F56" s="1">
        <f>IF(AND($F$52=1,就業手当算出表!$D$6="45～59歳"),F49,0)</f>
        <v>0</v>
      </c>
      <c r="G56" s="1">
        <f>IF(AND($G$52=1,就業手当算出表!$D$6="45～59歳"),G49,0)</f>
        <v>0</v>
      </c>
    </row>
    <row r="57" spans="2:8" x14ac:dyDescent="0.15">
      <c r="B57" t="s">
        <v>48</v>
      </c>
      <c r="D57" s="1">
        <f>IF(AND($D$52=1,就業手当算出表!$D$6="60～64歳"),D50,0)</f>
        <v>0</v>
      </c>
      <c r="E57" s="1">
        <f>IF(AND($E$52=1,就業手当算出表!$D$6="60～64歳"),E50,0)</f>
        <v>0</v>
      </c>
      <c r="F57" s="1">
        <f>IF(AND($F$52=1,就業手当算出表!$D$6="60～64歳"),F50,0)</f>
        <v>0</v>
      </c>
      <c r="G57" s="1">
        <f>IF(AND($G$52=1,就業手当算出表!$D$6="60～64歳"),G50,0)</f>
        <v>0</v>
      </c>
    </row>
    <row r="58" spans="2:8" x14ac:dyDescent="0.15">
      <c r="B58" t="s">
        <v>53</v>
      </c>
      <c r="C58" s="1">
        <f>SUM(C52:C57)</f>
        <v>0</v>
      </c>
      <c r="D58" s="1">
        <f>SUM(D53:D57)</f>
        <v>0</v>
      </c>
      <c r="E58" s="1">
        <f t="shared" ref="E58:G58" si="0">SUM(E53:E57)</f>
        <v>0</v>
      </c>
      <c r="F58" s="1">
        <f t="shared" si="0"/>
        <v>0</v>
      </c>
      <c r="G58" s="1">
        <f t="shared" si="0"/>
        <v>0</v>
      </c>
      <c r="H58" s="1"/>
    </row>
    <row r="60" spans="2:8" x14ac:dyDescent="0.15">
      <c r="B60" s="5" t="s">
        <v>54</v>
      </c>
      <c r="C60" s="24">
        <f>SUM(C58:G58)</f>
        <v>0</v>
      </c>
      <c r="D60" s="25" t="s">
        <v>55</v>
      </c>
    </row>
    <row r="63" spans="2:8" x14ac:dyDescent="0.15">
      <c r="B63" t="s">
        <v>34</v>
      </c>
    </row>
    <row r="65" spans="1:7" x14ac:dyDescent="0.15">
      <c r="C65" s="43" t="s">
        <v>36</v>
      </c>
      <c r="D65" s="43"/>
      <c r="E65" s="43"/>
      <c r="F65" s="43"/>
      <c r="G65" s="43"/>
    </row>
    <row r="66" spans="1:7" ht="24" x14ac:dyDescent="0.15">
      <c r="C66" s="21" t="s">
        <v>38</v>
      </c>
      <c r="D66" s="20" t="s">
        <v>39</v>
      </c>
      <c r="E66" s="20" t="s">
        <v>40</v>
      </c>
      <c r="F66" s="20" t="s">
        <v>41</v>
      </c>
      <c r="G66" s="22" t="s">
        <v>42</v>
      </c>
    </row>
    <row r="67" spans="1:7" x14ac:dyDescent="0.15">
      <c r="B67" t="s">
        <v>49</v>
      </c>
      <c r="C67">
        <v>150</v>
      </c>
      <c r="D67" s="43">
        <v>300</v>
      </c>
      <c r="E67" s="43"/>
      <c r="F67" s="43"/>
      <c r="G67" s="43"/>
    </row>
    <row r="68" spans="1:7" x14ac:dyDescent="0.15">
      <c r="B68" t="s">
        <v>50</v>
      </c>
      <c r="C68">
        <v>150</v>
      </c>
      <c r="D68" s="43">
        <v>360</v>
      </c>
      <c r="E68" s="43"/>
      <c r="F68" s="43"/>
      <c r="G68" s="43"/>
    </row>
    <row r="71" spans="1:7" x14ac:dyDescent="0.15">
      <c r="A71" t="s">
        <v>75</v>
      </c>
    </row>
    <row r="72" spans="1:7" x14ac:dyDescent="0.15">
      <c r="B72" t="s">
        <v>59</v>
      </c>
    </row>
    <row r="74" spans="1:7" x14ac:dyDescent="0.15">
      <c r="B74" t="s">
        <v>76</v>
      </c>
      <c r="C74">
        <f>就業手当算出表!D19</f>
        <v>45</v>
      </c>
      <c r="D74" s="1" t="s">
        <v>55</v>
      </c>
    </row>
    <row r="75" spans="1:7" x14ac:dyDescent="0.15">
      <c r="B75" t="s">
        <v>81</v>
      </c>
      <c r="C75">
        <f>就業手当算出表!D15/3</f>
        <v>30</v>
      </c>
      <c r="D75" s="1" t="s">
        <v>80</v>
      </c>
    </row>
    <row r="79" spans="1:7" x14ac:dyDescent="0.15">
      <c r="B79" t="s">
        <v>77</v>
      </c>
    </row>
    <row r="80" spans="1:7" x14ac:dyDescent="0.15">
      <c r="F80" t="s">
        <v>62</v>
      </c>
    </row>
    <row r="81" spans="2:9" x14ac:dyDescent="0.15">
      <c r="B81" t="s">
        <v>60</v>
      </c>
      <c r="F81" s="34">
        <v>1887</v>
      </c>
      <c r="G81" t="s">
        <v>63</v>
      </c>
      <c r="H81" s="43" t="s">
        <v>83</v>
      </c>
      <c r="I81" s="43"/>
    </row>
    <row r="82" spans="2:9" x14ac:dyDescent="0.15">
      <c r="B82" t="s">
        <v>61</v>
      </c>
      <c r="F82" s="34">
        <v>1525</v>
      </c>
      <c r="G82" t="s">
        <v>63</v>
      </c>
      <c r="H82" s="43"/>
      <c r="I82" s="43"/>
    </row>
    <row r="84" spans="2:9" ht="27" x14ac:dyDescent="0.15">
      <c r="C84" s="1" t="s">
        <v>66</v>
      </c>
      <c r="D84" s="27" t="s">
        <v>78</v>
      </c>
    </row>
    <row r="85" spans="2:9" x14ac:dyDescent="0.15">
      <c r="B85" t="s">
        <v>65</v>
      </c>
      <c r="C85">
        <f>IF(就業手当算出表!$D$6="60～64歳",0,1)</f>
        <v>1</v>
      </c>
      <c r="D85" s="35">
        <f>IF(ROUNDDOWN(就業手当算出表!$D$14*0.3,0)&gt;=1887,1887,ROUNDDOWN(就業手当算出表!$D$14*0.3,0))</f>
        <v>1810</v>
      </c>
      <c r="E85">
        <f>IF(C85=1,D85,0)</f>
        <v>1810</v>
      </c>
    </row>
    <row r="86" spans="2:9" x14ac:dyDescent="0.15">
      <c r="B86" t="s">
        <v>64</v>
      </c>
      <c r="C86">
        <f>IF(就業手当算出表!$D$6="60～64歳",1,0)</f>
        <v>0</v>
      </c>
      <c r="D86" s="35">
        <f>IF(ROUNDDOWN(就業手当算出表!$D$14*0.3,0)&gt;=1525,1525,ROUNDDOWN(就業手当算出表!$D$14*0.3,0))</f>
        <v>1525</v>
      </c>
      <c r="E86">
        <f>IF(C86=1,D86,0)</f>
        <v>0</v>
      </c>
    </row>
    <row r="88" spans="2:9" x14ac:dyDescent="0.15">
      <c r="B88" s="44" t="s">
        <v>73</v>
      </c>
      <c r="C88" s="45"/>
      <c r="D88" s="45"/>
      <c r="E88" s="24">
        <f>SUM(E85:E86)</f>
        <v>1810</v>
      </c>
      <c r="F88" s="6" t="s">
        <v>63</v>
      </c>
    </row>
  </sheetData>
  <mergeCells count="11">
    <mergeCell ref="H81:I82"/>
    <mergeCell ref="B88:D88"/>
    <mergeCell ref="G18:I18"/>
    <mergeCell ref="G19:I19"/>
    <mergeCell ref="G20:I20"/>
    <mergeCell ref="C33:G33"/>
    <mergeCell ref="C44:G44"/>
    <mergeCell ref="C46:C50"/>
    <mergeCell ref="C65:G65"/>
    <mergeCell ref="D67:G67"/>
    <mergeCell ref="D68:G6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就業手当算出表</vt:lpstr>
      <vt:lpstr>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2022-01-28T01:13:35Z</cp:lastPrinted>
  <dcterms:created xsi:type="dcterms:W3CDTF">2016-11-16T07:33:36Z</dcterms:created>
  <dcterms:modified xsi:type="dcterms:W3CDTF">2023-08-10T01:53:21Z</dcterms:modified>
</cp:coreProperties>
</file>